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4b475cb5c4ba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" sheetId="1" r:id="Rb3d78836f0084710"/>
    <sheet name="Inventory" sheetId="2" r:id="R214642da86ec4d31"/>
    <sheet name="Reorder" sheetId="3" r:id="Re1d143a61cd44c98"/>
    <sheet name="PurchaseOrders" sheetId="4" r:id="R41faed66c061463c"/>
    <sheet name="Products" sheetId="5" r:id="R681f4c49cee647a4"/>
    <sheet name="Transactions" sheetId="6" r:id="R082c519487d94788"/>
    <sheet name="Receiving" sheetId="7" r:id="R2f8579cfbde74201"/>
    <sheet name="SKUHistory" sheetId="8" r:id="R1476e59319d94d7e"/>
    <sheet name="Stocktake" sheetId="9" r:id="R9eacb131c4534641"/>
    <sheet name="CountPrep" sheetId="10" r:id="R346590e75d064e98"/>
    <sheet name="Adjustments" sheetId="11" r:id="Rb472cf068122460d"/>
    <sheet name="Archive" sheetId="12" r:id="R7f8392bef7324245"/>
  </sheet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4">
    <numFmt numFmtId="200" formatCode="@"/>
    <numFmt numFmtId="201" formatCode="#,##0"/>
    <numFmt numFmtId="202" formatCode="&quot;$&quot;#,##0.00"/>
    <numFmt numFmtId="203" formatCode="0.00"/>
    <numFmt numFmtId="204" formatCode="dd mmm yyyy"/>
    <numFmt numFmtId="205" formatCode="#,##0;[Red](#,##0);0"/>
    <numFmt numFmtId="206" formatCode="&quot;$&quot;#,##0.00;[Red](&quot;$&quot;#,##0.00)"/>
    <numFmt numFmtId="207" formatCode="0.0"/>
    <numFmt numFmtId="208" formatCode="yyyy-mm-dd"/>
    <numFmt numFmtId="209" formatCode="dd/mm/yyyy"/>
    <numFmt numFmtId="210" formatCode="mm/dd/yyyy"/>
    <numFmt numFmtId="211" formatCode="dd.mm.yyyy"/>
    <numFmt numFmtId="212" formatCode="yyyy/mm/dd"/>
    <numFmt numFmtId="213" formatCode="#,##0.00;[Red](#,##0.00);0.00"/>
    <numFmt numFmtId="214" formatCode="&quot;AUD &quot;#,##0.00;[Red](&quot;AUD &quot;#,##0.00);&quot;AUD &quot;0.00"/>
    <numFmt numFmtId="215" formatCode="&quot;NZD &quot;#,##0.00;[Red](&quot;NZD &quot;#,##0.00);&quot;NZD &quot;0.00"/>
    <numFmt numFmtId="216" formatCode="&quot;USD &quot;#,##0.00;[Red](&quot;USD &quot;#,##0.00);&quot;USD &quot;0.00"/>
    <numFmt numFmtId="217" formatCode="&quot;GBP &quot;#,##0.00;[Red](&quot;GBP &quot;#,##0.00);&quot;GBP &quot;0.00"/>
    <numFmt numFmtId="218" formatCode="&quot;CAD &quot;#,##0.00;[Red](&quot;CAD &quot;#,##0.00);&quot;CAD &quot;0.00"/>
    <numFmt numFmtId="219" formatCode="&quot;CNY &quot;#,##0.00;[Red](&quot;CNY &quot;#,##0.00);&quot;CNY &quot;0.00"/>
    <numFmt numFmtId="220" formatCode="&quot;SGD &quot;#,##0.00;[Red](&quot;SGD &quot;#,##0.00);&quot;SGD &quot;0.00"/>
    <numFmt numFmtId="221" formatCode="&quot;EUR &quot;#,##0.00;[Red](&quot;EUR &quot;#,##0.00);&quot;EUR &quot;0.00"/>
    <numFmt numFmtId="222" formatCode="&quot;JPY &quot;#,##0;[Red](&quot;JPY &quot;#,##0);&quot;JPY &quot;0"/>
    <numFmt numFmtId="223" formatCode="0"/>
  </numFmts>
  <fonts count="10">
    <font>
      <sz val="11"/>
      <name val="Carlito"/>
    </font>
    <font>
      <sz val="11"/>
      <color rgb="FF223830"/>
      <name val="Arial"/>
    </font>
    <font>
      <b/>
      <sz val="16"/>
      <color rgb="FF163F39"/>
      <name val="Arial"/>
    </font>
    <font>
      <sz val="10"/>
      <color rgb="FF5F6D65"/>
      <name val="Arial"/>
    </font>
    <font>
      <b/>
      <sz val="11"/>
      <color rgb="FFFFFFFF"/>
      <name val="Arial"/>
    </font>
    <font>
      <b/>
      <sz val="11"/>
      <color rgb="FF163F39"/>
      <name val="Arial"/>
    </font>
    <font>
      <b/>
      <sz val="14"/>
      <color rgb="FF163F39"/>
      <name val="Arial"/>
    </font>
    <font>
      <b/>
      <sz val="10"/>
      <color rgb="FFFFFFFF"/>
      <name val="Arial"/>
    </font>
    <font>
      <b/>
      <sz val="10"/>
      <color rgb="FF163F39"/>
      <name val="Arial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63F39"/>
      </patternFill>
    </fill>
    <fill>
      <patternFill patternType="solid">
        <fgColor rgb="FFFFF4D6"/>
      </patternFill>
    </fill>
    <fill>
      <patternFill patternType="solid">
        <fgColor rgb="FFF2F5F2"/>
      </patternFill>
    </fill>
    <fill>
      <patternFill patternType="solid">
        <fgColor rgb="FFE5EF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DB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1" fontId="1" fillId="4" borderId="0" xfId="0" applyNumberFormat="1" applyFont="1" applyFill="1" applyBorder="1" applyAlignment="1">
      <alignment vertical="center"/>
    </xf>
    <xf numFmtId="202" fontId="1" fillId="4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4" fontId="1" fillId="4" borderId="0" xfId="0" applyNumberFormat="1" applyFont="1" applyFill="1" applyBorder="1" applyAlignment="1">
      <alignment vertical="center"/>
    </xf>
    <xf numFmtId="205" fontId="1" fillId="2" borderId="0" xfId="0" applyNumberFormat="1" applyFont="1" applyFill="1" applyBorder="1" applyAlignment="1">
      <alignment vertical="center"/>
    </xf>
    <xf numFmtId="201" fontId="1" fillId="2" borderId="0" xfId="0" applyNumberFormat="1" applyFont="1" applyFill="1" applyBorder="1" applyAlignment="1">
      <alignment vertical="center"/>
    </xf>
    <xf numFmtId="206" fontId="1" fillId="2" borderId="0" xfId="0" applyNumberFormat="1" applyFont="1" applyFill="1" applyBorder="1" applyAlignment="1">
      <alignment vertical="center"/>
    </xf>
    <xf numFmtId="207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202" fontId="1" fillId="2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5" borderId="0" xfId="0" applyNumberFormat="1" applyFont="1" applyFill="1" applyBorder="1" applyAlignment="1">
      <alignment vertical="center" wrapText="1"/>
    </xf>
    <xf numFmtId="208" fontId="1" fillId="0" borderId="0" xfId="0" applyNumberFormat="1" applyFont="1" applyFill="1" applyBorder="1" applyAlignment="1">
      <alignment vertical="center"/>
    </xf>
    <xf numFmtId="213" fontId="1" fillId="0" borderId="0" xfId="0" applyNumberFormat="1" applyFont="1" applyFill="1" applyBorder="1" applyAlignment="1">
      <alignment vertical="center"/>
    </xf>
    <xf numFmtId="209" fontId="1" fillId="0" borderId="0" xfId="0" applyNumberFormat="1" applyFont="1" applyFill="1" applyBorder="1" applyAlignment="1">
      <alignment vertical="center"/>
    </xf>
    <xf numFmtId="210" fontId="1" fillId="0" borderId="0" xfId="0" applyNumberFormat="1" applyFont="1" applyFill="1" applyBorder="1" applyAlignment="1">
      <alignment vertical="center"/>
    </xf>
    <xf numFmtId="211" fontId="1" fillId="0" borderId="0" xfId="0" applyNumberFormat="1" applyFont="1" applyFill="1" applyBorder="1" applyAlignment="1">
      <alignment vertical="center"/>
    </xf>
    <xf numFmtId="212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/>
    </xf>
    <xf numFmtId="213" fontId="1" fillId="4" borderId="0" xfId="0" applyNumberFormat="1" applyFont="1" applyFill="1" applyBorder="1" applyAlignment="1">
      <alignment vertical="center"/>
    </xf>
    <xf numFmtId="213" fontId="1" fillId="2" borderId="0" xfId="0" applyNumberFormat="1" applyFont="1" applyFill="1" applyBorder="1" applyAlignment="1">
      <alignment vertical="center"/>
    </xf>
    <xf numFmtId="208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201" fontId="1" fillId="0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vertical="center" wrapText="1"/>
    </xf>
    <xf numFmtId="0" fontId="1" fillId="6" borderId="0" xfId="0" applyNumberFormat="1" applyFont="1" applyFill="1" applyBorder="1" applyAlignment="1">
      <alignment vertical="center"/>
    </xf>
    <xf numFmtId="0" fontId="5" fillId="6" borderId="0" xfId="0" applyNumberFormat="1" applyFont="1" applyFill="1" applyBorder="1" applyAlignment="1">
      <alignment vertical="center"/>
    </xf>
    <xf numFmtId="0" fontId="5" fillId="6" borderId="0" xfId="0" applyNumberFormat="1" applyFont="1" applyFill="1" applyBorder="1" applyAlignment="1">
      <alignment vertical="center" wrapText="1"/>
    </xf>
    <xf numFmtId="0" fontId="5" fillId="5" borderId="0" xfId="0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223" fontId="1" fillId="4" borderId="0" xfId="0" applyNumberFormat="1" applyFont="1" applyFill="1" applyBorder="1" applyAlignment="1">
      <alignment vertical="center"/>
    </xf>
    <xf numFmtId="203" fontId="0" fillId="0" borderId="0" xfId="0" applyNumberFormat="1" applyFont="1" applyFill="1" applyBorder="1"/>
    <xf numFmtId="0" fontId="0" fillId="3" borderId="0" xfId="0" applyNumberFormat="1" applyFont="1" applyFill="1" applyBorder="1"/>
    <xf numFmtId="0" fontId="9" fillId="3" borderId="0" xfId="0" applyNumberFormat="1" applyFont="1" applyFill="1" applyBorder="1"/>
    <xf numFmtId="0" fontId="9" fillId="3" borderId="0" xfId="0" applyNumberFormat="1" applyFont="1" applyFill="1" applyBorder="1" applyAlignment="1">
      <alignment wrapText="1"/>
    </xf>
    <xf numFmtId="208" fontId="0" fillId="0" borderId="0" xfId="0" applyNumberFormat="1" applyFont="1" applyFill="1" applyBorder="1"/>
    <xf numFmtId="21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1" fillId="4" borderId="0" xfId="0" applyNumberFormat="1" applyFont="1" applyFill="1" applyBorder="1" applyAlignment="1" applyProtection="1">
      <alignment vertical="center"/>
      <protection locked="0"/>
    </xf>
    <xf numFmtId="208" fontId="1" fillId="4" borderId="0" xfId="0" applyNumberFormat="1" applyFont="1" applyFill="1" applyBorder="1" applyAlignment="1" applyProtection="1">
      <alignment vertical="center"/>
      <protection locked="0"/>
    </xf>
    <xf numFmtId="223" fontId="1" fillId="4" borderId="0" xfId="0" applyNumberFormat="1" applyFont="1" applyFill="1" applyBorder="1" applyAlignment="1" applyProtection="1">
      <alignment vertical="center"/>
      <protection locked="0"/>
    </xf>
    <xf numFmtId="200" fontId="1" fillId="4" borderId="0" xfId="0" applyNumberFormat="1" applyFont="1" applyFill="1" applyBorder="1" applyAlignment="1" applyProtection="1">
      <alignment vertical="center"/>
      <protection locked="0"/>
    </xf>
    <xf numFmtId="201" fontId="1" fillId="4" borderId="0" xfId="0" applyNumberFormat="1" applyFont="1" applyFill="1" applyBorder="1" applyAlignment="1" applyProtection="1">
      <alignment vertical="center"/>
      <protection locked="0"/>
    </xf>
    <xf numFmtId="213" fontId="1" fillId="4" borderId="0" xfId="0" applyNumberFormat="1" applyFont="1" applyFill="1" applyBorder="1" applyAlignment="1" applyProtection="1">
      <alignment vertical="center"/>
      <protection locked="0"/>
    </xf>
    <xf numFmtId="203" fontId="1" fillId="4" borderId="0" xfId="0" applyNumberFormat="1" applyFont="1" applyFill="1" applyBorder="1" applyAlignment="1" applyProtection="1">
      <alignment vertical="center"/>
      <protection locked="0"/>
    </xf>
    <xf numFmtId="200" fontId="1" fillId="4" borderId="0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/>
  </cellStyles>
  <dxfs count="207"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163F39"/>
      </font>
      <fill>
        <patternFill patternType="solid">
          <bgColor rgb="FFE5EFD9"/>
        </patternFill>
      </fill>
    </dxf>
    <dxf>
      <font>
        <b/>
        <color rgb="FF163F39"/>
      </font>
      <fill>
        <patternFill patternType="solid">
          <bgColor rgb="FFE5EFD9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font>
        <b/>
        <color rgb="FF9A2D29"/>
      </font>
      <fill>
        <patternFill patternType="solid">
          <bgColor rgb="FFFCE8E5"/>
        </patternFill>
      </fill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font>
        <b/>
        <color rgb="FF9A2D29"/>
      </font>
      <fill>
        <patternFill patternType="solid">
          <bgColor rgb="FFFCE8E5"/>
        </patternFill>
      </fill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  <dxf>
      <numFmt numFmtId="209" formatCode="dd/mm/yyyy"/>
    </dxf>
    <dxf>
      <numFmt numFmtId="210" formatCode="mm/dd/yyyy"/>
    </dxf>
    <dxf>
      <numFmt numFmtId="208" formatCode="yyyy-mm-dd"/>
    </dxf>
    <dxf>
      <numFmt numFmtId="211" formatCode="dd.mm.yyyy"/>
    </dxf>
    <dxf>
      <numFmt numFmtId="212" formatCode="yyyy/mm/dd"/>
    </dxf>
    <dxf>
      <numFmt numFmtId="214" formatCode="&quot;AUD &quot;#,##0.00;[Red](&quot;AUD &quot;#,##0.00);&quot;AUD &quot;0.00"/>
    </dxf>
    <dxf>
      <numFmt numFmtId="215" formatCode="&quot;NZD &quot;#,##0.00;[Red](&quot;NZD &quot;#,##0.00);&quot;NZD &quot;0.00"/>
    </dxf>
    <dxf>
      <numFmt numFmtId="216" formatCode="&quot;USD &quot;#,##0.00;[Red](&quot;USD &quot;#,##0.00);&quot;USD &quot;0.00"/>
    </dxf>
    <dxf>
      <numFmt numFmtId="217" formatCode="&quot;GBP &quot;#,##0.00;[Red](&quot;GBP &quot;#,##0.00);&quot;GBP &quot;0.00"/>
    </dxf>
    <dxf>
      <numFmt numFmtId="218" formatCode="&quot;CAD &quot;#,##0.00;[Red](&quot;CAD &quot;#,##0.00);&quot;CAD &quot;0.00"/>
    </dxf>
    <dxf>
      <numFmt numFmtId="219" formatCode="&quot;CNY &quot;#,##0.00;[Red](&quot;CNY &quot;#,##0.00);&quot;CNY &quot;0.00"/>
    </dxf>
    <dxf>
      <numFmt numFmtId="220" formatCode="&quot;SGD &quot;#,##0.00;[Red](&quot;SGD &quot;#,##0.00);&quot;SGD &quot;0.00"/>
    </dxf>
    <dxf>
      <numFmt numFmtId="221" formatCode="&quot;EUR &quot;#,##0.00;[Red](&quot;EUR &quot;#,##0.00);&quot;EUR &quot;0.00"/>
    </dxf>
    <dxf>
      <numFmt numFmtId="222" formatCode="&quot;JPY &quot;#,##0;[Red](&quot;JPY &quot;#,##0);&quot;JPY &quot;0"/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425315ff84e10" /><Relationship Type="http://schemas.openxmlformats.org/officeDocument/2006/relationships/theme" Target="/xl/theme/theme1.xml" Id="R95e23f16c6764d59" /><Relationship Type="http://schemas.openxmlformats.org/officeDocument/2006/relationships/sharedStrings" Target="/xl/sharedStrings.xml" Id="R257e5b4b3e644397" /><Relationship Type="http://schemas.openxmlformats.org/officeDocument/2006/relationships/worksheet" Target="/xl/worksheets/sheet1.xml" Id="Rb3d78836f0084710" /><Relationship Type="http://schemas.openxmlformats.org/officeDocument/2006/relationships/worksheet" Target="/xl/worksheets/sheet2.xml" Id="R214642da86ec4d31" /><Relationship Type="http://schemas.openxmlformats.org/officeDocument/2006/relationships/worksheet" Target="/xl/worksheets/sheet3.xml" Id="Re1d143a61cd44c98" /><Relationship Type="http://schemas.openxmlformats.org/officeDocument/2006/relationships/worksheet" Target="/xl/worksheets/sheet4.xml" Id="R41faed66c061463c" /><Relationship Type="http://schemas.openxmlformats.org/officeDocument/2006/relationships/worksheet" Target="/xl/worksheets/sheet5.xml" Id="R681f4c49cee647a4" /><Relationship Type="http://schemas.openxmlformats.org/officeDocument/2006/relationships/worksheet" Target="/xl/worksheets/sheet6.xml" Id="R082c519487d94788" /><Relationship Type="http://schemas.openxmlformats.org/officeDocument/2006/relationships/worksheet" Target="/xl/worksheets/sheet7.xml" Id="R2f8579cfbde74201" /><Relationship Type="http://schemas.openxmlformats.org/officeDocument/2006/relationships/worksheet" Target="/xl/worksheets/sheet8.xml" Id="R1476e59319d94d7e" /><Relationship Type="http://schemas.openxmlformats.org/officeDocument/2006/relationships/worksheet" Target="/xl/worksheets/sheet9.xml" Id="R9eacb131c4534641" /><Relationship Type="http://schemas.openxmlformats.org/officeDocument/2006/relationships/worksheet" Target="/xl/worksheets/sheet10.xml" Id="R346590e75d064e98" /><Relationship Type="http://schemas.openxmlformats.org/officeDocument/2006/relationships/worksheet" Target="/xl/worksheets/sheet11.xml" Id="Rb472cf068122460d" /><Relationship Type="http://schemas.openxmlformats.org/officeDocument/2006/relationships/worksheet" Target="/xl/worksheets/sheet12.xml" Id="R7f8392bef7324245" /></Relationships>
</file>

<file path=xl/tables/table1.xml><?xml version="1.0" encoding="utf-8"?>
<table xmlns="http://schemas.openxmlformats.org/spreadsheetml/2006/main" id="3" name="InventoryPosition" displayName="InventoryPosition" ref="A6:N16" headerRowCount="1" totalsRowCount="0" totalsRowShown="0">
  <autoFilter ref="A6:N16"/>
  <tableColumns count="14">
    <tableColumn id="1" name="SKU"/>
    <tableColumn id="2" name="Product"/>
    <tableColumn id="3" name="Opening"/>
    <tableColumn id="4" name="Received"/>
    <tableColumn id="5" name="Issued"/>
    <tableColumn id="6" name="Net adjustments"/>
    <tableColumn id="7" name="On hand"/>
    <tableColumn id="8" name="Backorders"/>
    <tableColumn id="9" name="Available"/>
    <tableColumn id="10" name="Unit cost"/>
    <tableColumn id="11" name="Stock value"/>
    <tableColumn id="12" name="Cover (days)"/>
    <tableColumn id="13" name="Stock state"/>
    <tableColumn id="14" name="Data statu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4" name="ReorderPlan" displayName="ReorderPlan" ref="A6:O16" headerRowCount="1" totalsRowCount="0" totalsRowShown="0">
  <autoFilter ref="A6:O16"/>
  <tableColumns count="15">
    <tableColumn id="1" name="SKU"/>
    <tableColumn id="2" name="Product"/>
    <tableColumn id="3" name="On hand"/>
    <tableColumn id="4" name="In-time on order"/>
    <tableColumn id="5" name="Backorders"/>
    <tableColumn id="6" name="Stock position"/>
    <tableColumn id="7" name="Daily usage"/>
    <tableColumn id="8" name="Reorder point"/>
    <tableColumn id="9" name="Target stock"/>
    <tableColumn id="10" name="Order multiple"/>
    <tableColumn id="11" name="Suggested order"/>
    <tableColumn id="12" name="Est. cost"/>
    <tableColumn id="13" name="Cover (days)"/>
    <tableColumn id="14" name="Action"/>
    <tableColumn id="15" name="Priorit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5" name="PurchaseOrderLines" displayName="PurchaseOrderLines" ref="A6:O16" headerRowCount="1" totalsRowCount="0" totalsRowShown="0">
  <autoFilter ref="A6:O16"/>
  <tableColumns count="15">
    <tableColumn id="1" name="PO line ID"/>
    <tableColumn id="2" name="PO number"/>
    <tableColumn id="3" name="SKU"/>
    <tableColumn id="4" name="Supplier"/>
    <tableColumn id="5" name="Order date"/>
    <tableColumn id="6" name="Due date"/>
    <tableColumn id="7" name="Qty ordered"/>
    <tableColumn id="8" name="PO unit cost"/>
    <tableColumn id="9" name="Order status"/>
    <tableColumn id="10" name="Received qty"/>
    <tableColumn id="11" name="Outstanding qty"/>
    <tableColumn id="12" name="Open value"/>
    <tableColumn id="13" name="Delivery state"/>
    <tableColumn id="14" name="Input status"/>
    <tableColumn id="15" name="Receipt issue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1" name="ProductSetup" displayName="ProductSetup" ref="A6:Q16" headerRowCount="1" totalsRowCount="0" totalsRowShown="0">
  <autoFilter ref="A6:Q16"/>
  <tableColumns count="17">
    <tableColumn id="1" name="SKU"/>
    <tableColumn id="2" name="Product name"/>
    <tableColumn id="3" name="Category"/>
    <tableColumn id="4" name="Unit"/>
    <tableColumn id="5" name="Opening qty"/>
    <tableColumn id="6" name="Unit cost"/>
    <tableColumn id="7" name="Manual daily demand"/>
    <tableColumn id="8" name="Lead time (days)"/>
    <tableColumn id="9" name="Safety days"/>
    <tableColumn id="10" name="Review days"/>
    <tableColumn id="11" name="Order multiple"/>
    <tableColumn id="12" name="Other on-order qty"/>
    <tableColumn id="13" name="Backorders"/>
    <tableColumn id="14" name="Supplier"/>
    <tableColumn id="15" name="Notes"/>
    <tableColumn id="16" name="Input status"/>
    <tableColumn id="17" name="Minimum order qt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2" name="StockMovements" displayName="StockMovements" ref="A6:J106" headerRowCount="1" totalsRowCount="0" totalsRowShown="0">
  <autoFilter ref="A6:J106"/>
  <tableColumns count="10">
    <tableColumn id="1" name="Movement ID"/>
    <tableColumn id="2" name="Date"/>
    <tableColumn id="3" name="SKU (optional with PO)"/>
    <tableColumn id="4" name="Movement"/>
    <tableColumn id="5" name="Quantity"/>
    <tableColumn id="6" name="Reference"/>
    <tableColumn id="7" name="Notes"/>
    <tableColumn id="8" name="Row status"/>
    <tableColumn id="9" name="Signed qty"/>
    <tableColumn id="10" name="PO line ID (optional)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6" name="ReceivingRows" displayName="ReceivingRows" ref="A6:I16" headerRowCount="1" totalsRowCount="0" totalsRowShown="0">
  <autoFilter ref="A6:I16"/>
  <tableColumns count="9">
    <tableColumn id="1" name="PO line ID"/>
    <tableColumn id="2" name="PO number"/>
    <tableColumn id="3" name="SKU"/>
    <tableColumn id="4" name="Supplier"/>
    <tableColumn id="5" name="Due date"/>
    <tableColumn id="6" name="Outstanding"/>
    <tableColumn id="7" name="Delivery state"/>
    <tableColumn id="8" name="Before arrival qty"/>
    <tableColumn id="9" name="Timing action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7" name="SKUHistoryRows" displayName="SKUHistoryRows" ref="A6:J206" headerRowCount="1" totalsRowCount="0" totalsRowShown="0">
  <autoFilter ref="A6:J206"/>
  <tableColumns count="10">
    <tableColumn id="1" name="Movement ID"/>
    <tableColumn id="2" name="Date"/>
    <tableColumn id="3" name="SKU"/>
    <tableColumn id="4" name="Movement"/>
    <tableColumn id="5" name="Quantity"/>
    <tableColumn id="6" name="Signed qty"/>
    <tableColumn id="7" name="Reference"/>
    <tableColumn id="8" name="Notes"/>
    <tableColumn id="9" name="PO line ID"/>
    <tableColumn id="10" name="Source row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8" name="CountEvents" displayName="CountEvents" ref="A6:S26" headerRowCount="1" totalsRowCount="0" totalsRowShown="0">
  <autoFilter ref="A6:S26"/>
  <tableColumns count="19">
    <tableColumn id="1" name="Count line ID"/>
    <tableColumn id="2" name="Count date"/>
    <tableColumn id="3" name="Cycle ID"/>
    <tableColumn id="4" name="SKU"/>
    <tableColumn id="5" name="Book qty snapshot"/>
    <tableColumn id="6" name="Counted qty"/>
    <tableColumn id="7" name="Unit cost snapshot"/>
    <tableColumn id="8" name="Notes"/>
    <tableColumn id="9" name="Posted movement ID"/>
    <tableColumn id="10" name="Product"/>
    <tableColumn id="11" name="Qty variance"/>
    <tableColumn id="12" name="Value variance"/>
    <tableColumn id="13" name="Input status"/>
    <tableColumn id="14" name="Adjustment status"/>
    <tableColumn id="15" name="Live book (reference)"/>
    <tableColumn id="16" name="Live cost (reference)"/>
    <tableColumn id="17" name="Adjustment type"/>
    <tableColumn id="18" name="Adjustment qty"/>
    <tableColumn id="19" name="Suggested movement ID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9" name="CountPrepRows" displayName="CountPrepRows" ref="A6:I16" headerRowCount="1" totalsRowCount="0" totalsRowShown="0">
  <autoFilter ref="A6:I16"/>
  <tableColumns count="9">
    <tableColumn id="1" name="Count line ID"/>
    <tableColumn id="2" name="Count date"/>
    <tableColumn id="3" name="Cycle ID"/>
    <tableColumn id="4" name="SKU"/>
    <tableColumn id="5" name="Book qty snapshot"/>
    <tableColumn id="6" name="Counted qty"/>
    <tableColumn id="7" name="Unit cost snapshot"/>
    <tableColumn id="8" name="Notes"/>
    <tableColumn id="9" name="Posted movement ID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10" name="AdjustmentsRows" displayName="AdjustmentsRows" ref="A6:I26" headerRowCount="1" totalsRowCount="0" totalsRowShown="0">
  <autoFilter ref="A6:I26"/>
  <tableColumns count="9">
    <tableColumn id="1" name="Movement ID"/>
    <tableColumn id="2" name="Date"/>
    <tableColumn id="3" name="SKU"/>
    <tableColumn id="4" name="Movement"/>
    <tableColumn id="5" name="Quantity"/>
    <tableColumn id="6" name="Reference"/>
    <tableColumn id="7" name="Notes"/>
    <tableColumn id="8" name="Count line ID"/>
    <tableColumn id="9" name="Posting state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11" name="ArchiveRows" displayName="ArchiveRows" ref="A6:Q16" headerRowCount="1" totalsRowCount="0" totalsRowShown="0">
  <autoFilter ref="A6:Q16"/>
  <tableColumns count="17">
    <tableColumn id="1" name="SKU"/>
    <tableColumn id="2" name="Product name"/>
    <tableColumn id="3" name="Category"/>
    <tableColumn id="4" name="Unit"/>
    <tableColumn id="5" name="Opening qty"/>
    <tableColumn id="6" name="Unit cost"/>
    <tableColumn id="7" name="Manual daily demand"/>
    <tableColumn id="8" name="Lead time"/>
    <tableColumn id="9" name="Safety days"/>
    <tableColumn id="10" name="Review days"/>
    <tableColumn id="11" name="Order multiple"/>
    <tableColumn id="12" name="Other on-order"/>
    <tableColumn id="13" name="Backorders"/>
    <tableColumn id="14" name="Supplier"/>
    <tableColumn id="15" name="Notes"/>
    <tableColumn id="16" name="Input status"/>
    <tableColumn id="17" name="Minimum order qt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fa94ddb4704fd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c28e21c3813415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fc441c6dfb44bc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5c4aa364cb3487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d08693f5ff3492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e6d97be90be44e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4cd5c00ebfe4469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9af042156e4347d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76c6a7cd583489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9a5620aa62ed45b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4eb1729691304c11" /></Relationships>
</file>

<file path=xl/worksheets/sheet1.xml><?xml version="1.0" encoding="utf-8"?>
<worksheet xmlns="http://schemas.openxmlformats.org/spreadsheetml/2006/main">
  <sheetPr>
    <tabColor rgb="FF163F39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3" hidden="0" customWidth="1"/>
    <col min="2" max="2" width="25" hidden="0" customWidth="1"/>
    <col min="3" max="3" width="25" hidden="0" customWidth="1"/>
    <col min="4" max="4" width="14" hidden="0" customWidth="1"/>
    <col min="5" max="5" width="22" hidden="0" customWidth="1"/>
    <col min="6" max="6" width="17" hidden="0" customWidth="1"/>
    <col min="7" max="7" width="17" hidden="0" customWidth="1"/>
    <col min="8" max="8" width="10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</row>
    <row r="2" ht="23" customHeight="1">
      <c r="A2" s="2"/>
      <c r="B2" s="3" t="str">
        <v>Warelium Inventory Sample 3.0</v>
      </c>
      <c r="C2" s="2"/>
      <c r="D2" s="2"/>
      <c r="E2" s="2"/>
      <c r="F2" s="2"/>
      <c r="G2" s="2"/>
      <c r="H2" s="2"/>
    </row>
    <row r="3" ht="23" customHeight="1">
      <c r="A3" s="2"/>
      <c r="B3" s="4" t="str">
        <v>Synthetic working sample. Yellow inputs are editable; formulas are protected.</v>
      </c>
      <c r="C3" s="4"/>
      <c r="D3" s="4"/>
      <c r="E3" s="4"/>
      <c r="F3" s="4"/>
      <c r="G3" s="4"/>
      <c r="H3" s="4"/>
    </row>
    <row r="4" ht="23" customHeight="1">
      <c r="A4" s="2"/>
      <c r="B4" s="2"/>
      <c r="C4" s="2"/>
      <c r="D4" s="2"/>
      <c r="E4" s="2"/>
      <c r="F4" s="2"/>
      <c r="G4" s="2"/>
      <c r="H4" s="2"/>
    </row>
    <row r="5" ht="32" customHeight="1">
      <c r="A5" s="2"/>
      <c r="B5" s="2" t="str">
        <v>Country / region</v>
      </c>
      <c r="C5" s="62" t="str">
        <v>Australia</v>
      </c>
      <c r="D5" s="11"/>
      <c r="E5" s="2" t="str">
        <v>As-of date</v>
      </c>
      <c r="F5" s="63" t="d">
        <v>2026-10-18T00:00:00.000Z</v>
      </c>
      <c r="G5" s="11"/>
      <c r="H5" s="2"/>
    </row>
    <row r="6" ht="23" customHeight="1">
      <c r="A6" s="2"/>
      <c r="B6" s="2"/>
      <c r="C6" s="2"/>
      <c r="D6" s="2"/>
      <c r="E6" s="2"/>
      <c r="F6" s="2"/>
      <c r="G6" s="2"/>
      <c r="H6" s="2"/>
    </row>
    <row r="7" ht="23" customHeight="1">
      <c r="A7" s="2"/>
      <c r="B7" s="2" t="str">
        <v>Currency</v>
      </c>
      <c r="C7" s="2" t="str">
        <f>IFERROR(INDEX($C$83:$C$92,MATCH($C$5,$B$83:$B$92,0)),"Choose a listed region")</f>
        <v>AUD</v>
      </c>
      <c r="D7" s="2"/>
      <c r="E7" s="2" t="str">
        <v>Date format</v>
      </c>
      <c r="F7" s="2" t="str">
        <f>IFERROR(INDEX($D$83:$D$92,MATCH($C$5,$B$83:$B$92,0)),"Choose a listed region")</f>
        <v>dd/mm/yyyy</v>
      </c>
      <c r="G7" s="2"/>
      <c r="H7" s="2"/>
    </row>
    <row r="8" ht="23" customHeight="1">
      <c r="A8" s="2"/>
      <c r="B8" s="2"/>
      <c r="C8" s="2"/>
      <c r="D8" s="2"/>
      <c r="E8" s="2"/>
      <c r="F8" s="2"/>
      <c r="G8" s="2"/>
      <c r="H8" s="2"/>
    </row>
    <row r="9" ht="23" customHeight="1">
      <c r="A9" s="2"/>
      <c r="B9" s="44" t="str">
        <v>Set the as-of date before reviewing stock. Future movements are excluded from stock and purchase receipts. Blank manual demand uses valid OUT movements over the selected demand days. Region changes display only.</v>
      </c>
      <c r="C9" s="44"/>
      <c r="D9" s="44"/>
      <c r="E9" s="44"/>
      <c r="F9" s="44"/>
      <c r="G9" s="44"/>
      <c r="H9" s="44"/>
    </row>
    <row r="10" ht="23" customHeight="1">
      <c r="A10" s="2"/>
      <c r="B10" s="44"/>
      <c r="C10" s="44"/>
      <c r="D10" s="44"/>
      <c r="E10" s="44"/>
      <c r="F10" s="44"/>
      <c r="G10" s="44"/>
      <c r="H10" s="44"/>
    </row>
    <row r="11" ht="23" customHeight="1">
      <c r="A11" s="2"/>
      <c r="B11" s="2" t="str">
        <v>Demand days</v>
      </c>
      <c r="C11" s="64" t="n">
        <v>90</v>
      </c>
      <c r="D11" s="2"/>
      <c r="E11" s="2"/>
      <c r="F11" s="2"/>
      <c r="G11" s="2"/>
      <c r="H11" s="2"/>
    </row>
    <row r="12" ht="23" customHeight="1">
      <c r="A12" s="2"/>
      <c r="B12" s="2" t="str">
        <v>Date example</v>
      </c>
      <c r="C12" s="26" t="d">
        <v>2026-10-17T00:00:00.000Z</v>
      </c>
      <c r="D12" s="2"/>
      <c r="E12" s="2" t="str">
        <v>Amount example</v>
      </c>
      <c r="F12" s="27" t="n">
        <v>1234.56</v>
      </c>
      <c r="G12" s="2"/>
      <c r="H12" s="2"/>
    </row>
    <row r="13" ht="23" customHeight="1">
      <c r="A13" s="2"/>
      <c r="B13" s="2"/>
      <c r="C13" s="2"/>
      <c r="D13" s="2"/>
      <c r="E13" s="2"/>
      <c r="F13" s="2"/>
      <c r="G13" s="2"/>
      <c r="H13" s="2"/>
    </row>
    <row r="14" ht="23" customHeight="1">
      <c r="A14" s="2"/>
      <c r="B14" s="47" t="str">
        <f>IF(SUMPRODUCT(--('Products'!$A$7:$A$16&lt;&gt;""))=0,"Start with Products. Add a SKU, product name and opening stock.",IF(SUMPRODUCT(--('Products'!$P$7:$P$16&lt;&gt;""),--('Products'!$P$7:$P$16&lt;&gt;"Ready"))+SUMPRODUCT(--('Transactions'!$H$7:$H$106&lt;&gt;""),--('Transactions'!$H$7:$H$106&lt;&gt;"Ready"))+SUMPRODUCT(--('PurchaseOrders'!$N$7:$N$16&lt;&gt;""),--('PurchaseOrders'!$N$7:$N$16&lt;&gt;"Ready"))&gt;0,"Review highlighted input issues before using results.","Open Inventory for balances, Reorder for suggestions, or PurchaseOrders for receipts still due."))</f>
        <v>Open Inventory for balances, Reorder for suggestions, or PurchaseOrders for receipts still due.</v>
      </c>
      <c r="C14" s="47"/>
      <c r="D14" s="47"/>
      <c r="E14" s="47"/>
      <c r="F14" s="47"/>
      <c r="G14" s="47"/>
      <c r="H14" s="47"/>
    </row>
    <row r="15" ht="23" customHeight="1">
      <c r="A15" s="2"/>
      <c r="B15" s="47"/>
      <c r="C15" s="47"/>
      <c r="D15" s="47"/>
      <c r="E15" s="47"/>
      <c r="F15" s="47"/>
      <c r="G15" s="47"/>
      <c r="H15" s="47"/>
    </row>
    <row r="16" ht="23" customHeight="1">
      <c r="A16" s="2"/>
      <c r="B16" s="2"/>
      <c r="C16" s="2"/>
      <c r="D16" s="2"/>
      <c r="E16" s="2"/>
      <c r="F16" s="2"/>
      <c r="G16" s="2"/>
      <c r="H16" s="2"/>
    </row>
    <row r="17" ht="23" customHeight="1">
      <c r="A17" s="2"/>
      <c r="B17" t="str">
        <v>Choose a task</v>
      </c>
      <c r="C17"/>
      <c r="D17"/>
      <c r="E17" t="str">
        <v>Next action</v>
      </c>
      <c r="F17"/>
      <c r="G17"/>
      <c r="H17"/>
    </row>
    <row r="18" ht="23" customHeight="1">
      <c r="A18" s="2"/>
      <c r="B18"/>
      <c r="C18"/>
      <c r="D18"/>
      <c r="E18"/>
      <c r="F18"/>
      <c r="G18"/>
      <c r="H18"/>
    </row>
    <row r="19" ht="23" customHeight="1">
      <c r="A19" s="2"/>
      <c r="B19" s="61" t="str">
        <v>Set up stock</v>
      </c>
      <c r="C19" s="61"/>
      <c r="D19" s="61"/>
      <c r="E19" s="60" t="str">
        <v>Start with SKU, name, unit, opening quantity and cost. Blank manual demand uses recent OUT history.</v>
      </c>
      <c r="F19" s="60"/>
      <c r="G19" s="60"/>
      <c r="H19" s="60"/>
      <c r="I19" s="60"/>
      <c r="J19" s="60"/>
    </row>
    <row r="20" ht="23" customHeight="1">
      <c r="A20" s="2"/>
      <c r="B20" s="61"/>
      <c r="C20" s="61"/>
      <c r="D20" s="61"/>
      <c r="E20" s="60"/>
      <c r="F20" s="60"/>
      <c r="G20" s="60"/>
      <c r="H20" s="60"/>
      <c r="I20" s="60"/>
      <c r="J20" s="60"/>
    </row>
    <row r="21" ht="23" customHeight="1">
      <c r="A21" s="2"/>
      <c r="B21" s="61" t="str">
        <v>Record a movement</v>
      </c>
      <c r="C21" s="61"/>
      <c r="D21" s="61"/>
      <c r="E21" s="60" t="str">
        <v>Receipts: choose IN and PO line J. Other movements: choose SKU C. All quantities are positive whole numbers.</v>
      </c>
      <c r="F21" s="60"/>
      <c r="G21" s="60"/>
      <c r="H21" s="60"/>
      <c r="I21" s="60"/>
      <c r="J21" s="60"/>
    </row>
    <row r="22" ht="23" customHeight="1">
      <c r="A22" s="2"/>
      <c r="B22" s="61"/>
      <c r="C22" s="61"/>
      <c r="D22" s="61"/>
      <c r="E22" s="60"/>
      <c r="F22" s="60"/>
      <c r="G22" s="60"/>
      <c r="H22" s="60"/>
      <c r="I22" s="60"/>
      <c r="J22" s="60"/>
    </row>
    <row r="23" ht="23" customHeight="1">
      <c r="A23" s="2"/>
      <c r="B23" s="61" t="str">
        <v>Enter a purchase</v>
      </c>
      <c r="C23" s="61"/>
      <c r="D23" s="61"/>
      <c r="E23" s="60" t="str">
        <v>Enter one unique PO line ID per ordered SKU, supplier, dates, quantity and cost.</v>
      </c>
      <c r="F23" s="60"/>
      <c r="G23" s="60"/>
      <c r="H23" s="60"/>
      <c r="I23" s="60"/>
      <c r="J23" s="60"/>
    </row>
    <row r="24" ht="23" customHeight="1">
      <c r="A24" s="2"/>
      <c r="B24" s="61"/>
      <c r="C24" s="61"/>
      <c r="D24" s="61"/>
      <c r="E24" s="60"/>
      <c r="F24" s="60"/>
      <c r="G24" s="60"/>
      <c r="H24" s="60"/>
      <c r="I24" s="60"/>
      <c r="J24" s="60"/>
    </row>
    <row r="25" ht="23" customHeight="1">
      <c r="A25" s="2"/>
      <c r="B25" s="61" t="str">
        <v>Receive purchases</v>
      </c>
      <c r="C25" s="61"/>
      <c r="D25" s="61"/>
      <c r="E25" s="60" t="str">
        <v>Filter open purchase lines, review overdue dates and stockout warnings.</v>
      </c>
      <c r="F25" s="60"/>
      <c r="G25" s="60"/>
      <c r="H25" s="60"/>
      <c r="I25" s="60"/>
      <c r="J25" s="60"/>
    </row>
    <row r="26" ht="23" customHeight="1">
      <c r="A26" s="2"/>
      <c r="B26" s="61"/>
      <c r="C26" s="61"/>
      <c r="D26" s="61"/>
      <c r="E26" s="60"/>
      <c r="F26" s="60"/>
      <c r="G26" s="60"/>
      <c r="H26" s="60"/>
      <c r="I26" s="60"/>
      <c r="J26" s="60"/>
    </row>
    <row r="27" ht="23" customHeight="1">
      <c r="A27" s="2"/>
      <c r="B27" s="61" t="str">
        <v>Review inventory</v>
      </c>
      <c r="C27" s="61"/>
      <c r="D27" s="61"/>
      <c r="E27" s="60" t="str">
        <v>Review balances through the as-of date and resolve flagged source issues.</v>
      </c>
      <c r="F27" s="60"/>
      <c r="G27" s="60"/>
      <c r="H27" s="60"/>
      <c r="I27" s="60"/>
      <c r="J27" s="60"/>
    </row>
    <row r="28" ht="23" customHeight="1">
      <c r="A28" s="2"/>
      <c r="B28" s="61"/>
      <c r="C28" s="61"/>
      <c r="D28" s="61"/>
      <c r="E28" s="60"/>
      <c r="F28" s="60"/>
      <c r="G28" s="60"/>
      <c r="H28" s="60"/>
      <c r="I28" s="60"/>
      <c r="J28" s="60"/>
    </row>
    <row r="29" ht="23" customHeight="1">
      <c r="A29" s="2"/>
      <c r="B29" s="61" t="str">
        <v>Plan replenishment</v>
      </c>
      <c r="C29" s="61"/>
      <c r="D29" s="61"/>
      <c r="E29" s="60" t="str">
        <v>Review order quantity AND timing risk. Undated/overdue/later incoming is shown separately.</v>
      </c>
      <c r="F29" s="60"/>
      <c r="G29" s="60"/>
      <c r="H29" s="60"/>
      <c r="I29" s="60"/>
      <c r="J29" s="60"/>
    </row>
    <row r="30" ht="23" customHeight="1">
      <c r="A30" s="2"/>
      <c r="B30" s="61"/>
      <c r="C30" s="61"/>
      <c r="D30" s="61"/>
      <c r="E30" s="60"/>
      <c r="F30" s="60"/>
      <c r="G30" s="60"/>
      <c r="H30" s="60"/>
      <c r="I30" s="60"/>
      <c r="J30" s="60"/>
    </row>
    <row r="31" ht="23" customHeight="1">
      <c r="A31" s="2"/>
      <c r="B31" s="61" t="str">
        <v>Prepare a count</v>
      </c>
      <c r="C31" s="61"/>
      <c r="D31" s="61"/>
      <c r="E31" s="60" t="str">
        <v>Enter a new cycle ID and copy current book/cost snapshots as values.</v>
      </c>
      <c r="F31" s="60"/>
      <c r="G31" s="60"/>
      <c r="H31" s="60"/>
      <c r="I31" s="60"/>
      <c r="J31" s="60"/>
    </row>
    <row r="32" ht="23" customHeight="1">
      <c r="A32" s="2"/>
      <c r="B32" s="61"/>
      <c r="C32" s="61"/>
      <c r="D32" s="61"/>
      <c r="E32" s="60"/>
      <c r="F32" s="60"/>
      <c r="G32" s="60"/>
      <c r="H32" s="60"/>
      <c r="I32" s="60"/>
      <c r="J32" s="60"/>
    </row>
    <row r="33" ht="23" customHeight="1">
      <c r="A33" s="2"/>
      <c r="B33" s="61" t="str">
        <v>Record the count</v>
      </c>
      <c r="C33" s="61"/>
      <c r="D33" s="61"/>
      <c r="E33" s="60" t="str">
        <v>Keep one row per cycle and SKU. Enter the physical count, including zero.</v>
      </c>
      <c r="F33" s="60"/>
      <c r="G33" s="60"/>
      <c r="H33" s="60"/>
      <c r="I33" s="60"/>
      <c r="J33" s="60"/>
    </row>
    <row r="34" ht="23" customHeight="1">
      <c r="A34" s="2"/>
      <c r="B34" s="61"/>
      <c r="C34" s="61"/>
      <c r="D34" s="61"/>
      <c r="E34" s="60"/>
      <c r="F34" s="60"/>
      <c r="G34" s="60"/>
      <c r="H34" s="60"/>
      <c r="I34" s="60"/>
      <c r="J34" s="60"/>
    </row>
    <row r="35" ht="23" customHeight="1">
      <c r="A35" s="2"/>
      <c r="B35" s="61" t="str">
        <v>Post approved differences</v>
      </c>
      <c r="C35" s="61"/>
      <c r="D35" s="61"/>
      <c r="E35" s="60" t="str">
        <v>Review the difference, copy the proposed movement, then record its ID against the count.</v>
      </c>
      <c r="F35" s="60"/>
      <c r="G35" s="60"/>
      <c r="H35" s="60"/>
      <c r="I35" s="60"/>
      <c r="J35" s="60"/>
    </row>
    <row r="36" ht="23" customHeight="1">
      <c r="A36" s="2"/>
      <c r="B36" s="61"/>
      <c r="C36" s="61"/>
      <c r="D36" s="61"/>
      <c r="E36" s="60"/>
      <c r="F36" s="60"/>
      <c r="G36" s="60"/>
      <c r="H36" s="60"/>
      <c r="I36" s="60"/>
      <c r="J36" s="60"/>
    </row>
    <row r="37" ht="23" customHeight="1">
      <c r="A37" s="2"/>
      <c r="B37" s="61" t="str">
        <v>Find SKU movements</v>
      </c>
      <c r="C37" s="61"/>
      <c r="D37" s="61"/>
      <c r="E37" s="60" t="str">
        <v>Choose a SKU and dates. View matching valid movements; narrow dates above 200 matches.</v>
      </c>
      <c r="F37" s="60"/>
      <c r="G37" s="60"/>
      <c r="H37" s="60"/>
      <c r="I37" s="60"/>
      <c r="J37" s="60"/>
    </row>
    <row r="38" ht="23" customHeight="1">
      <c r="A38" s="2"/>
      <c r="B38" s="61"/>
      <c r="C38" s="61"/>
      <c r="D38" s="61"/>
      <c r="E38" s="60"/>
      <c r="F38" s="60"/>
      <c r="G38" s="60"/>
      <c r="H38" s="60"/>
      <c r="I38" s="60"/>
      <c r="J38" s="60"/>
    </row>
    <row r="39" ht="23" customHeight="1">
      <c r="A39" s="2"/>
      <c r="B39" s="61" t="str">
        <v>Review capacity / archive</v>
      </c>
      <c r="C39" s="61"/>
      <c r="D39" s="61"/>
      <c r="E39" s="60" t="str">
        <v>Keep a dated old file and carry reviewed balances to a new blank workbook.</v>
      </c>
      <c r="F39" s="60"/>
      <c r="G39" s="60"/>
      <c r="H39" s="60"/>
      <c r="I39" s="60"/>
      <c r="J39" s="60"/>
    </row>
    <row r="40" ht="23" customHeight="1">
      <c r="A40" s="2"/>
      <c r="B40" s="61"/>
      <c r="C40" s="61"/>
      <c r="D40" s="61"/>
      <c r="E40" s="60"/>
      <c r="F40" s="60"/>
      <c r="G40" s="60"/>
      <c r="H40" s="60"/>
      <c r="I40" s="60"/>
      <c r="J40" s="60"/>
    </row>
    <row r="41" ht="24" customHeight="1">
      <c r="A41" s="2"/>
      <c r="B41" t="str">
        <v>Capacity</v>
      </c>
      <c r="C41" s="60" t="str">
        <v>10 products, 100 movements, 10 PO lines and 20 count rows. Rows beyond prepared capacity are excluded. Archive before full.</v>
      </c>
      <c r="D41" s="60"/>
      <c r="E41" s="60"/>
      <c r="F41" s="60"/>
      <c r="G41" s="60"/>
      <c r="H41" s="60"/>
      <c r="I41" s="60"/>
      <c r="J41" s="60"/>
    </row>
    <row r="42" ht="24" customHeight="1">
      <c r="A42" s="2"/>
      <c r="B42"/>
      <c r="C42" s="60"/>
      <c r="D42" s="60"/>
      <c r="E42" s="60"/>
      <c r="F42" s="60"/>
      <c r="G42" s="60"/>
      <c r="H42" s="60"/>
      <c r="I42" s="60"/>
      <c r="J42" s="60"/>
    </row>
    <row r="43" ht="24" customHeight="1">
      <c r="A43" s="2"/>
      <c r="B43"/>
      <c r="C43" s="60"/>
      <c r="D43" s="60"/>
      <c r="E43" s="60"/>
      <c r="F43" s="60"/>
      <c r="G43" s="60"/>
      <c r="H43" s="60"/>
      <c r="I43" s="60"/>
      <c r="J43" s="60"/>
    </row>
    <row r="44" ht="23" customHeight="1">
      <c r="A44" s="2"/>
      <c r="B44"/>
      <c r="C44"/>
      <c r="D44"/>
      <c r="E44"/>
      <c r="F44"/>
      <c r="G44"/>
      <c r="H44"/>
    </row>
    <row r="45" ht="24" customHeight="1">
      <c r="A45" s="2"/>
      <c r="B45" t="str">
        <v>Protection</v>
      </c>
      <c r="C45" s="60" t="str">
        <v>Formula cells are locked to prevent accidental edits. Yellow inputs remain editable. Review &gt; Unprotect Sheet (no password) enables reviewed customization. Reprotect afterward; protection is not security.</v>
      </c>
      <c r="D45" s="60"/>
      <c r="E45" s="60"/>
      <c r="F45" s="60"/>
      <c r="G45" s="60"/>
      <c r="H45" s="60"/>
      <c r="I45" s="60"/>
      <c r="J45" s="60"/>
    </row>
    <row r="46" ht="24" customHeight="1">
      <c r="A46" s="2"/>
      <c r="B46"/>
      <c r="C46" s="60"/>
      <c r="D46" s="60"/>
      <c r="E46" s="60"/>
      <c r="F46" s="60"/>
      <c r="G46" s="60"/>
      <c r="H46" s="60"/>
      <c r="I46" s="60"/>
      <c r="J46" s="60"/>
    </row>
    <row r="47" ht="24" customHeight="1">
      <c r="A47" s="2"/>
      <c r="B47"/>
      <c r="C47" s="60"/>
      <c r="D47" s="60"/>
      <c r="E47" s="60"/>
      <c r="F47" s="60"/>
      <c r="G47" s="60"/>
      <c r="H47" s="60"/>
      <c r="I47" s="60"/>
      <c r="J47" s="60"/>
    </row>
    <row r="48" ht="23" customHeight="1">
      <c r="A48" s="2"/>
      <c r="B48"/>
      <c r="C48"/>
      <c r="D48"/>
      <c r="E48"/>
      <c r="F48"/>
      <c r="G48"/>
      <c r="H48"/>
    </row>
    <row r="49" ht="24" customHeight="1">
      <c r="A49" s="2"/>
      <c r="B49" t="str">
        <v>Dates / demand</v>
      </c>
      <c r="C49" s="60" t="str">
        <v>The as-of date cuts off stock and receipts. Demand = valid OUT quantity in the chosen window / calendar days. Returns and adjustments do not create demand. A manual zero overrides history. No OUT history means no order suggestion.</v>
      </c>
      <c r="D49" s="60"/>
      <c r="E49" s="60"/>
      <c r="F49" s="60"/>
      <c r="G49" s="60"/>
      <c r="H49" s="60"/>
      <c r="I49" s="60"/>
      <c r="J49" s="60"/>
    </row>
    <row r="50" ht="24" customHeight="1">
      <c r="A50" s="2"/>
      <c r="B50"/>
      <c r="C50" s="60"/>
      <c r="D50" s="60"/>
      <c r="E50" s="60"/>
      <c r="F50" s="60"/>
      <c r="G50" s="60"/>
      <c r="H50" s="60"/>
      <c r="I50" s="60"/>
      <c r="J50" s="60"/>
    </row>
    <row r="51" ht="24" customHeight="1">
      <c r="A51" s="2"/>
      <c r="B51"/>
      <c r="C51" s="60"/>
      <c r="D51" s="60"/>
      <c r="E51" s="60"/>
      <c r="F51" s="60"/>
      <c r="G51" s="60"/>
      <c r="H51" s="60"/>
      <c r="I51" s="60"/>
      <c r="J51" s="60"/>
    </row>
    <row r="52" ht="23" customHeight="1">
      <c r="A52" s="2"/>
      <c r="B52"/>
      <c r="C52"/>
      <c r="D52"/>
      <c r="E52"/>
      <c r="F52"/>
      <c r="G52"/>
      <c r="H52"/>
    </row>
    <row r="53" ht="24" customHeight="1">
      <c r="A53" s="2"/>
      <c r="B53" t="str">
        <v>Planning limits</v>
      </c>
      <c r="C53" s="60" t="str">
        <v>One unit and one stock pool per SKU. Future/overdue receipts do not erase timing risk. Constant demand is an estimate; verify dates, backorders and supplier promises before ordering.</v>
      </c>
      <c r="D53" s="60"/>
      <c r="E53" s="60"/>
      <c r="F53" s="60"/>
      <c r="G53" s="60"/>
      <c r="H53" s="60"/>
      <c r="I53" s="60"/>
      <c r="J53" s="60"/>
    </row>
    <row r="54" ht="24" customHeight="1">
      <c r="A54" s="2"/>
      <c r="B54"/>
      <c r="C54" s="60"/>
      <c r="D54" s="60"/>
      <c r="E54" s="60"/>
      <c r="F54" s="60"/>
      <c r="G54" s="60"/>
      <c r="H54" s="60"/>
      <c r="I54" s="60"/>
      <c r="J54" s="60"/>
    </row>
    <row r="55" ht="24" customHeight="1">
      <c r="A55" s="2"/>
      <c r="B55"/>
      <c r="C55" s="60"/>
      <c r="D55" s="60"/>
      <c r="E55" s="60"/>
      <c r="F55" s="60"/>
      <c r="G55" s="60"/>
      <c r="H55" s="60"/>
      <c r="I55" s="60"/>
      <c r="J55" s="60"/>
    </row>
    <row r="56" ht="23" customHeight="1">
      <c r="A56" s="2"/>
      <c r="B56"/>
      <c r="C56"/>
      <c r="D56"/>
      <c r="E56"/>
      <c r="F56"/>
      <c r="G56"/>
      <c r="H56"/>
    </row>
    <row r="57" ht="24" customHeight="1">
      <c r="A57" s="2"/>
      <c r="B57" t="str">
        <v>Safe count</v>
      </c>
      <c r="C57" s="60" t="str">
        <v>CountPrep is a live preparation view. Paste A:I as values into Stocktake to fix the snapshot. Counting never changes stock until you approve and record a separate adjustment.</v>
      </c>
      <c r="D57" s="60"/>
      <c r="E57" s="60"/>
      <c r="F57" s="60"/>
      <c r="G57" s="60"/>
      <c r="H57" s="60"/>
      <c r="I57" s="60"/>
      <c r="J57" s="60"/>
    </row>
    <row r="58" ht="24" customHeight="1">
      <c r="A58" s="2"/>
      <c r="B58"/>
      <c r="C58" s="60"/>
      <c r="D58" s="60"/>
      <c r="E58" s="60"/>
      <c r="F58" s="60"/>
      <c r="G58" s="60"/>
      <c r="H58" s="60"/>
      <c r="I58" s="60"/>
      <c r="J58" s="60"/>
    </row>
    <row r="59" ht="24" customHeight="1">
      <c r="A59" s="2"/>
      <c r="B59"/>
      <c r="C59" s="60"/>
      <c r="D59" s="60"/>
      <c r="E59" s="60"/>
      <c r="F59" s="60"/>
      <c r="G59" s="60"/>
      <c r="H59" s="60"/>
      <c r="I59" s="60"/>
      <c r="J59" s="60"/>
    </row>
    <row r="60" ht="23" customHeight="1">
      <c r="A60" s="2"/>
      <c r="B60"/>
      <c r="C60"/>
      <c r="D60"/>
      <c r="E60"/>
      <c r="F60"/>
      <c r="G60"/>
      <c r="H60"/>
    </row>
    <row r="61" ht="24" customHeight="1">
      <c r="A61" s="2"/>
      <c r="B61" t="str">
        <v>Carry-forward</v>
      </c>
      <c r="C61" s="60" t="str">
        <v>Archive creates a starting-balance view, not an automatic reset. Keep the old file. Copy products and OPEN PO balances only into a fresh file; never copy historical receipts too. Keep region/date consistent and reconcile stock/value/open PO totals.</v>
      </c>
      <c r="D61" s="60"/>
      <c r="E61" s="60"/>
      <c r="F61" s="60"/>
      <c r="G61" s="60"/>
      <c r="H61" s="60"/>
      <c r="I61" s="60"/>
      <c r="J61" s="60"/>
    </row>
    <row r="62" ht="24" customHeight="1">
      <c r="A62" s="2"/>
      <c r="B62"/>
      <c r="C62" s="60"/>
      <c r="D62" s="60"/>
      <c r="E62" s="60"/>
      <c r="F62" s="60"/>
      <c r="G62" s="60"/>
      <c r="H62" s="60"/>
      <c r="I62" s="60"/>
      <c r="J62" s="60"/>
    </row>
    <row r="63" ht="24" customHeight="1">
      <c r="A63" s="2"/>
      <c r="B63"/>
      <c r="C63" s="60"/>
      <c r="D63" s="60"/>
      <c r="E63" s="60"/>
      <c r="F63" s="60"/>
      <c r="G63" s="60"/>
      <c r="H63" s="60"/>
      <c r="I63" s="60"/>
      <c r="J63" s="60"/>
    </row>
    <row r="64" ht="23" customHeight="1">
      <c r="A64" s="2"/>
      <c r="B64"/>
      <c r="C64"/>
      <c r="D64"/>
      <c r="E64"/>
      <c r="F64"/>
      <c r="G64"/>
      <c r="H64"/>
    </row>
    <row r="65" ht="24" customHeight="1">
      <c r="A65" s="2"/>
      <c r="B65" t="str">
        <v>中文操作</v>
      </c>
      <c r="C65" s="60" t="str">
        <v>先设置国家、截止日期和需求天数，再录商品。收货选 IN 与采购行 J，SKU 自动显示在 K。盘点先从 CountPrep 粘贴为值到 Stocktake；确认差异后再登记调整。浅黄色可输入，公式默认保护，无密码可解除。</v>
      </c>
      <c r="D65" s="60"/>
      <c r="E65" s="60"/>
      <c r="F65" s="60"/>
      <c r="G65" s="60"/>
      <c r="H65" s="60"/>
      <c r="I65" s="60"/>
      <c r="J65" s="60"/>
    </row>
    <row r="66" ht="24" customHeight="1">
      <c r="A66" s="2"/>
      <c r="B66"/>
      <c r="C66" s="60"/>
      <c r="D66" s="60"/>
      <c r="E66" s="60"/>
      <c r="F66" s="60"/>
      <c r="G66" s="60"/>
      <c r="H66" s="60"/>
      <c r="I66" s="60"/>
      <c r="J66" s="60"/>
    </row>
    <row r="67" ht="24" customHeight="1">
      <c r="A67" s="2"/>
      <c r="B67"/>
      <c r="C67" s="60"/>
      <c r="D67" s="60"/>
      <c r="E67" s="60"/>
      <c r="F67" s="60"/>
      <c r="G67" s="60"/>
      <c r="H67" s="60"/>
      <c r="I67" s="60"/>
      <c r="J67" s="60"/>
    </row>
    <row r="68" ht="23" customHeight="1">
      <c r="A68" s="2"/>
      <c r="B68"/>
      <c r="C68"/>
      <c r="D68"/>
      <c r="E68"/>
      <c r="F68"/>
      <c r="G68"/>
      <c r="H68"/>
    </row>
    <row r="69" ht="24" customHeight="1">
      <c r="A69" s="2"/>
      <c r="B69" t="str">
        <v>Scope</v>
      </c>
      <c r="C69" s="60" t="str">
        <v>Macro-free. No external connections, multiuser synchronization, bin/lot/serial allocation, tax, exchange conversion or FIFO. Keep dated backups. One-business internal use; no template redistribution.</v>
      </c>
      <c r="D69" s="60"/>
      <c r="E69" s="60"/>
      <c r="F69" s="60"/>
      <c r="G69" s="60"/>
      <c r="H69" s="60"/>
      <c r="I69" s="60"/>
      <c r="J69" s="60"/>
    </row>
    <row r="70" ht="24" customHeight="1">
      <c r="A70" s="2"/>
      <c r="B70"/>
      <c r="C70" s="60"/>
      <c r="D70" s="60"/>
      <c r="E70" s="60"/>
      <c r="F70" s="60"/>
      <c r="G70" s="60"/>
      <c r="H70" s="60"/>
      <c r="I70" s="60"/>
      <c r="J70" s="60"/>
    </row>
    <row r="71" ht="24" customHeight="1">
      <c r="A71" s="2"/>
      <c r="B71"/>
      <c r="C71" s="60"/>
      <c r="D71" s="60"/>
      <c r="E71" s="60"/>
      <c r="F71" s="60"/>
      <c r="G71" s="60"/>
      <c r="H71" s="60"/>
      <c r="I71" s="60"/>
      <c r="J71" s="60"/>
    </row>
    <row r="72" ht="23" customHeight="1">
      <c r="A72" s="2"/>
      <c r="B72"/>
      <c r="C72"/>
      <c r="D72"/>
      <c r="E72"/>
      <c r="F72"/>
      <c r="G72"/>
      <c r="H72"/>
    </row>
    <row r="73" ht="23" customHeight="1">
      <c r="A73" s="2"/>
      <c r="B73" t="str">
        <v>Prepared records</v>
      </c>
      <c r="C73" t="str">
        <v>Used</v>
      </c>
      <c r="D73" t="str">
        <v>Remaining</v>
      </c>
      <c r="E73" t="str">
        <v>Action</v>
      </c>
      <c r="F73"/>
      <c r="G73"/>
      <c r="H73"/>
    </row>
    <row r="74" ht="23" customHeight="1">
      <c r="A74" s="2"/>
      <c r="B74" t="str">
        <v>Products</v>
      </c>
      <c r="C74" t="n">
        <f>SUMPRODUCT(--('Products'!$P$7:$P$16&lt;&gt;""))</f>
        <v>2</v>
      </c>
      <c r="D74" t="n">
        <f>10-C74</f>
        <v>8</v>
      </c>
      <c r="E74" t="str">
        <f>IF(D74&lt;=0,"Full: archive first",IF(D74&lt;=1,"Capacity low","Within capacity"))</f>
        <v>Within capacity</v>
      </c>
      <c r="F74"/>
      <c r="G74"/>
      <c r="H74"/>
    </row>
    <row r="75" ht="23" customHeight="1">
      <c r="A75" s="2"/>
      <c r="B75" t="str">
        <v>Transactions</v>
      </c>
      <c r="C75" t="n">
        <f>SUMPRODUCT(--('Transactions'!$H$7:$H$106&lt;&gt;""))</f>
        <v>3</v>
      </c>
      <c r="D75" t="n">
        <f>100-C75</f>
        <v>97</v>
      </c>
      <c r="E75" t="str">
        <f>IF(D75&lt;=0,"Full: archive first",IF(D75&lt;=10,"Capacity low","Within capacity"))</f>
        <v>Within capacity</v>
      </c>
      <c r="F75"/>
      <c r="G75"/>
      <c r="H75"/>
    </row>
    <row r="76" ht="23" customHeight="1">
      <c r="A76" s="2"/>
      <c r="B76" t="str">
        <v>PurchaseOrders</v>
      </c>
      <c r="C76" t="n">
        <f>SUMPRODUCT(--('PurchaseOrders'!$N$7:$N$16&lt;&gt;""))</f>
        <v>1</v>
      </c>
      <c r="D76" t="n">
        <f>10-C76</f>
        <v>9</v>
      </c>
      <c r="E76" t="str">
        <f>IF(D76&lt;=0,"Full: archive first",IF(D76&lt;=1,"Capacity low","Within capacity"))</f>
        <v>Within capacity</v>
      </c>
      <c r="F76"/>
      <c r="G76"/>
      <c r="H76"/>
    </row>
    <row r="77" ht="23" customHeight="1">
      <c r="A77" s="2"/>
      <c r="B77" t="str">
        <v>Stocktake</v>
      </c>
      <c r="C77" t="n">
        <f>SUMPRODUCT(--('Stocktake'!$M$7:$M$26&lt;&gt;""))</f>
        <v>2</v>
      </c>
      <c r="D77" t="n">
        <f>20-C77</f>
        <v>18</v>
      </c>
      <c r="E77" t="str">
        <f>IF(D77&lt;=0,"Full: archive first",IF(D77&lt;=2,"Capacity low","Within capacity"))</f>
        <v>Within capacity</v>
      </c>
      <c r="F77"/>
      <c r="G77"/>
      <c r="H77"/>
    </row>
    <row r="78" ht="23" customHeight="1">
      <c r="A78" s="2"/>
      <c r="B78"/>
      <c r="C78"/>
      <c r="D78"/>
      <c r="E78"/>
      <c r="F78"/>
      <c r="G78"/>
      <c r="H78"/>
    </row>
    <row r="79" ht="23" customHeight="1">
      <c r="A79" s="2"/>
      <c r="B79"/>
      <c r="C79"/>
      <c r="D79"/>
      <c r="E79"/>
      <c r="F79"/>
      <c r="G79"/>
      <c r="H79"/>
    </row>
    <row r="80" ht="23" customHeight="1">
      <c r="A80" s="2"/>
      <c r="B80" s="2"/>
      <c r="C80" s="2"/>
      <c r="D80" s="2"/>
      <c r="E80" s="2"/>
      <c r="F80" s="2"/>
      <c r="G80" s="2"/>
      <c r="H80" s="2"/>
    </row>
    <row r="81" ht="23" customHeight="1">
      <c r="A81" s="2"/>
      <c r="B81" s="2" t="str">
        <v>Country display presets</v>
      </c>
      <c r="C81" s="2"/>
      <c r="D81" s="2"/>
      <c r="E81" s="2"/>
      <c r="F81" s="2"/>
      <c r="G81" s="2"/>
      <c r="H81" s="2"/>
    </row>
    <row r="82" ht="28" customHeight="1">
      <c r="A82" s="2"/>
      <c r="B82" s="51" t="str">
        <v>Country / region</v>
      </c>
      <c r="C82" s="51" t="str">
        <v>Currency</v>
      </c>
      <c r="D82" s="51" t="str">
        <v>Date display</v>
      </c>
      <c r="E82" s="51" t="str">
        <v>Decimals</v>
      </c>
      <c r="F82" s="51" t="str">
        <v>Example</v>
      </c>
      <c r="G82" s="2"/>
      <c r="H82" s="2"/>
    </row>
    <row r="83" ht="23" customHeight="1">
      <c r="A83" s="2"/>
      <c r="B83" s="2" t="str">
        <v>Australia</v>
      </c>
      <c r="C83" s="2" t="str">
        <v>AUD</v>
      </c>
      <c r="D83" s="2" t="str">
        <v>dd/mm/yyyy</v>
      </c>
      <c r="E83" s="2" t="n">
        <v>2</v>
      </c>
      <c r="F83" s="28" t="d">
        <v>2026-10-17T00:00:00.000Z</v>
      </c>
      <c r="G83" s="2"/>
      <c r="H83" s="2"/>
    </row>
    <row r="84" ht="23" customHeight="1">
      <c r="A84" s="2"/>
      <c r="B84" s="2" t="str">
        <v>New Zealand</v>
      </c>
      <c r="C84" s="2" t="str">
        <v>NZD</v>
      </c>
      <c r="D84" s="2" t="str">
        <v>dd/mm/yyyy</v>
      </c>
      <c r="E84" s="2" t="n">
        <v>2</v>
      </c>
      <c r="F84" s="28" t="d">
        <v>2026-10-17T00:00:00.000Z</v>
      </c>
      <c r="G84" s="2"/>
      <c r="H84" s="2"/>
    </row>
    <row r="85" ht="23" customHeight="1">
      <c r="A85" s="2"/>
      <c r="B85" s="2" t="str">
        <v>United States</v>
      </c>
      <c r="C85" s="2" t="str">
        <v>USD</v>
      </c>
      <c r="D85" s="2" t="str">
        <v>mm/dd/yyyy</v>
      </c>
      <c r="E85" s="2" t="n">
        <v>2</v>
      </c>
      <c r="F85" s="29" t="d">
        <v>2026-10-17T00:00:00.000Z</v>
      </c>
      <c r="G85" s="2"/>
      <c r="H85" s="2"/>
    </row>
    <row r="86" ht="23" customHeight="1">
      <c r="A86" s="2"/>
      <c r="B86" s="2" t="str">
        <v>United Kingdom</v>
      </c>
      <c r="C86" s="2" t="str">
        <v>GBP</v>
      </c>
      <c r="D86" s="2" t="str">
        <v>dd/mm/yyyy</v>
      </c>
      <c r="E86" s="2" t="n">
        <v>2</v>
      </c>
      <c r="F86" s="28" t="d">
        <v>2026-10-17T00:00:00.000Z</v>
      </c>
      <c r="G86" s="2"/>
      <c r="H86" s="2"/>
    </row>
    <row r="87" ht="23" customHeight="1">
      <c r="A87" s="2"/>
      <c r="B87" s="2" t="str">
        <v>Canada</v>
      </c>
      <c r="C87" s="2" t="str">
        <v>CAD</v>
      </c>
      <c r="D87" s="2" t="str">
        <v>yyyy-mm-dd</v>
      </c>
      <c r="E87" s="2" t="n">
        <v>2</v>
      </c>
      <c r="F87" s="26" t="d">
        <v>2026-10-17T00:00:00.000Z</v>
      </c>
      <c r="G87" s="2"/>
      <c r="H87" s="2"/>
    </row>
    <row r="88" ht="23" customHeight="1">
      <c r="A88" s="2"/>
      <c r="B88" s="2" t="str">
        <v>China</v>
      </c>
      <c r="C88" s="2" t="str">
        <v>CNY</v>
      </c>
      <c r="D88" s="2" t="str">
        <v>yyyy-mm-dd</v>
      </c>
      <c r="E88" s="2" t="n">
        <v>2</v>
      </c>
      <c r="F88" s="26" t="d">
        <v>2026-10-17T00:00:00.000Z</v>
      </c>
      <c r="G88" s="2"/>
      <c r="H88" s="2"/>
    </row>
    <row r="89" ht="23" customHeight="1">
      <c r="A89" s="2"/>
      <c r="B89" s="2" t="str">
        <v>Singapore</v>
      </c>
      <c r="C89" s="2" t="str">
        <v>SGD</v>
      </c>
      <c r="D89" s="2" t="str">
        <v>dd/mm/yyyy</v>
      </c>
      <c r="E89" s="2" t="n">
        <v>2</v>
      </c>
      <c r="F89" s="28" t="d">
        <v>2026-10-17T00:00:00.000Z</v>
      </c>
      <c r="G89" s="2"/>
      <c r="H89" s="2"/>
    </row>
    <row r="90" ht="23" customHeight="1">
      <c r="A90" s="2"/>
      <c r="B90" s="2" t="str">
        <v>Germany</v>
      </c>
      <c r="C90" s="2" t="str">
        <v>EUR</v>
      </c>
      <c r="D90" s="2" t="str">
        <v>dd.mm.yyyy</v>
      </c>
      <c r="E90" s="2" t="n">
        <v>2</v>
      </c>
      <c r="F90" s="30" t="d">
        <v>2026-10-17T00:00:00.000Z</v>
      </c>
      <c r="G90" s="2"/>
      <c r="H90" s="2"/>
    </row>
    <row r="91" ht="23" customHeight="1">
      <c r="A91" s="2"/>
      <c r="B91" s="2" t="str">
        <v>France</v>
      </c>
      <c r="C91" s="2" t="str">
        <v>EUR</v>
      </c>
      <c r="D91" s="2" t="str">
        <v>dd/mm/yyyy</v>
      </c>
      <c r="E91" s="2" t="n">
        <v>2</v>
      </c>
      <c r="F91" s="28" t="d">
        <v>2026-10-17T00:00:00.000Z</v>
      </c>
      <c r="G91" s="2"/>
      <c r="H91" s="2"/>
    </row>
    <row r="92" ht="23" customHeight="1">
      <c r="A92" s="2"/>
      <c r="B92" s="2" t="str">
        <v>Japan</v>
      </c>
      <c r="C92" s="2" t="str">
        <v>JPY</v>
      </c>
      <c r="D92" s="2" t="str">
        <v>yyyy/mm/dd</v>
      </c>
      <c r="E92" s="2" t="n">
        <v>0</v>
      </c>
      <c r="F92" s="31" t="d">
        <v>2026-10-17T00:00:00.000Z</v>
      </c>
      <c r="G92" s="2"/>
      <c r="H92" s="2"/>
    </row>
    <row r="93" ht="23" customHeight="1">
      <c r="A93" s="2"/>
      <c r="B93" s="2"/>
      <c r="C93" s="2"/>
      <c r="D93" s="2"/>
      <c r="E93" s="2"/>
      <c r="F93" s="2"/>
      <c r="G93" s="2"/>
      <c r="H93" s="2"/>
    </row>
    <row r="94" ht="23" customHeight="1">
      <c r="A94" s="2"/>
      <c r="B94" s="24" t="str">
        <v>Currency is one display currency per workbook. JPY shows whole amounts while retaining stored decimals. Decimal/thousands separators and typed-date interpretation follow the spreadsheet app settings.</v>
      </c>
      <c r="C94" s="24"/>
      <c r="D94" s="24"/>
      <c r="E94" s="24"/>
      <c r="F94" s="24"/>
      <c r="G94" s="24"/>
      <c r="H94" s="24"/>
    </row>
    <row r="95" ht="23" customHeight="1">
      <c r="A95" s="2"/>
      <c r="B95" s="24"/>
      <c r="C95" s="24"/>
      <c r="D95" s="24"/>
      <c r="E95" s="24"/>
      <c r="F95" s="24"/>
      <c r="G95" s="24"/>
      <c r="H95" s="24"/>
    </row>
    <row r="96" ht="23" customHeight="1">
      <c r="A96" s="2"/>
      <c r="B96" s="24"/>
      <c r="C96" s="24"/>
      <c r="D96" s="24"/>
      <c r="E96" s="24"/>
      <c r="F96" s="24"/>
      <c r="G96" s="24"/>
      <c r="H96" s="24"/>
    </row>
  </sheetData>
  <sheetProtection sheet="1" objects="1" scenarios="1" autoFilter="0" sort="1" formatColumns="0" formatRows="0" selectLockedCells="0" selectUnlockedCells="0"/>
  <mergeCells>
    <mergeCell ref="B3:H3"/>
    <mergeCell ref="B9:H10"/>
    <mergeCell ref="B14:H15"/>
    <mergeCell ref="B94:H96"/>
    <mergeCell ref="E19:J20"/>
    <mergeCell ref="B19:D20"/>
    <mergeCell ref="E21:J22"/>
    <mergeCell ref="B21:D22"/>
    <mergeCell ref="E23:J24"/>
    <mergeCell ref="B23:D24"/>
    <mergeCell ref="E25:J26"/>
    <mergeCell ref="B25:D26"/>
    <mergeCell ref="E27:J28"/>
    <mergeCell ref="B27:D28"/>
    <mergeCell ref="E29:J30"/>
    <mergeCell ref="B29:D30"/>
    <mergeCell ref="E31:J32"/>
    <mergeCell ref="B31:D32"/>
    <mergeCell ref="E33:J34"/>
    <mergeCell ref="B33:D34"/>
    <mergeCell ref="E35:J36"/>
    <mergeCell ref="B35:D36"/>
    <mergeCell ref="E37:J38"/>
    <mergeCell ref="B37:D38"/>
    <mergeCell ref="E39:J40"/>
    <mergeCell ref="B39:D40"/>
    <mergeCell ref="C41:J43"/>
    <mergeCell ref="C45:J47"/>
    <mergeCell ref="C49:J51"/>
    <mergeCell ref="C53:J55"/>
    <mergeCell ref="C57:J59"/>
    <mergeCell ref="C61:J63"/>
    <mergeCell ref="C65:J67"/>
    <mergeCell ref="C69:J71"/>
  </mergeCells>
  <conditionalFormatting sqref="C12:C12">
    <cfRule type="expression" dxfId="6" priority="1">
      <formula>INDIRECT("Start!$F$7")="dd/mm/yyyy"</formula>
    </cfRule>
    <cfRule type="expression" dxfId="7" priority="2">
      <formula>INDIRECT("Start!$F$7")="mm/dd/yyyy"</formula>
    </cfRule>
    <cfRule type="expression" dxfId="8" priority="3">
      <formula>INDIRECT("Start!$F$7")="yyyy-mm-dd"</formula>
    </cfRule>
    <cfRule type="expression" dxfId="9" priority="4">
      <formula>INDIRECT("Start!$F$7")="dd.mm.yyyy"</formula>
    </cfRule>
    <cfRule type="expression" dxfId="10" priority="5">
      <formula>INDIRECT("Start!$F$7")="yyyy/mm/dd"</formula>
    </cfRule>
    <cfRule type="expression" dxfId="83" priority="21">
      <formula>INDIRECT("Start!$F$7")="dd/mm/yyyy"</formula>
    </cfRule>
    <cfRule type="expression" dxfId="84" priority="22">
      <formula>INDIRECT("Start!$F$7")="mm/dd/yyyy"</formula>
    </cfRule>
    <cfRule type="expression" dxfId="85" priority="23">
      <formula>INDIRECT("Start!$F$7")="yyyy-mm-dd"</formula>
    </cfRule>
    <cfRule type="expression" dxfId="86" priority="24">
      <formula>INDIRECT("Start!$F$7")="dd.mm.yyyy"</formula>
    </cfRule>
    <cfRule type="expression" dxfId="87" priority="25">
      <formula>INDIRECT("Start!$F$7")="yyyy/mm/dd"</formula>
    </cfRule>
  </conditionalFormatting>
  <conditionalFormatting sqref="F12:F12">
    <cfRule type="expression" dxfId="11" priority="6">
      <formula>INDIRECT("Start!$C$7")="AUD"</formula>
    </cfRule>
    <cfRule type="expression" dxfId="12" priority="7">
      <formula>INDIRECT("Start!$C$7")="NZD"</formula>
    </cfRule>
    <cfRule type="expression" dxfId="13" priority="8">
      <formula>INDIRECT("Start!$C$7")="USD"</formula>
    </cfRule>
    <cfRule type="expression" dxfId="14" priority="9">
      <formula>INDIRECT("Start!$C$7")="GBP"</formula>
    </cfRule>
    <cfRule type="expression" dxfId="15" priority="10">
      <formula>INDIRECT("Start!$C$7")="CAD"</formula>
    </cfRule>
    <cfRule type="expression" dxfId="16" priority="11">
      <formula>INDIRECT("Start!$C$7")="CNY"</formula>
    </cfRule>
    <cfRule type="expression" dxfId="17" priority="12">
      <formula>INDIRECT("Start!$C$7")="SGD"</formula>
    </cfRule>
    <cfRule type="expression" dxfId="18" priority="13">
      <formula>INDIRECT("Start!$C$7")="EUR"</formula>
    </cfRule>
    <cfRule type="expression" dxfId="19" priority="14">
      <formula>INDIRECT("Start!$C$7")="JPY"</formula>
    </cfRule>
    <cfRule type="expression" dxfId="88" priority="26">
      <formula>INDIRECT("Start!$C$7")="AUD"</formula>
    </cfRule>
    <cfRule type="expression" dxfId="89" priority="27">
      <formula>INDIRECT("Start!$C$7")="NZD"</formula>
    </cfRule>
    <cfRule type="expression" dxfId="90" priority="28">
      <formula>INDIRECT("Start!$C$7")="USD"</formula>
    </cfRule>
    <cfRule type="expression" dxfId="91" priority="29">
      <formula>INDIRECT("Start!$C$7")="GBP"</formula>
    </cfRule>
    <cfRule type="expression" dxfId="92" priority="30">
      <formula>INDIRECT("Start!$C$7")="CAD"</formula>
    </cfRule>
    <cfRule type="expression" dxfId="93" priority="31">
      <formula>INDIRECT("Start!$C$7")="CNY"</formula>
    </cfRule>
    <cfRule type="expression" dxfId="94" priority="32">
      <formula>INDIRECT("Start!$C$7")="SGD"</formula>
    </cfRule>
    <cfRule type="expression" dxfId="95" priority="33">
      <formula>INDIRECT("Start!$C$7")="EUR"</formula>
    </cfRule>
    <cfRule type="expression" dxfId="96" priority="34">
      <formula>INDIRECT("Start!$C$7")="JPY"</formula>
    </cfRule>
  </conditionalFormatting>
  <conditionalFormatting sqref="C5:F7">
    <cfRule type="expression" dxfId="20" priority="15">
      <formula>ISERROR(MATCH($C$5,$B$83:$B$92,0))</formula>
    </cfRule>
  </conditionalFormatting>
  <conditionalFormatting sqref="F5:F5">
    <cfRule type="expression" dxfId="78" priority="16">
      <formula>INDIRECT("Start!$F$7")="dd/mm/yyyy"</formula>
    </cfRule>
    <cfRule type="expression" dxfId="79" priority="17">
      <formula>INDIRECT("Start!$F$7")="mm/dd/yyyy"</formula>
    </cfRule>
    <cfRule type="expression" dxfId="80" priority="18">
      <formula>INDIRECT("Start!$F$7")="yyyy-mm-dd"</formula>
    </cfRule>
    <cfRule type="expression" dxfId="81" priority="19">
      <formula>INDIRECT("Start!$F$7")="dd.mm.yyyy"</formula>
    </cfRule>
    <cfRule type="expression" dxfId="82" priority="20">
      <formula>INDIRECT("Start!$F$7")="yyyy/mm/dd"</formula>
    </cfRule>
  </conditionalFormatting>
  <conditionalFormatting sqref="C5:D5">
    <cfRule type="expression" dxfId="97" priority="35">
      <formula>ISERROR(MATCH($C$5,$B$83:$B$92,0))</formula>
    </cfRule>
  </conditionalFormatting>
  <conditionalFormatting sqref="F5:G5">
    <cfRule type="expression" dxfId="98" priority="36">
      <formula>OR(NOT(ISNUMBER($F$5)),$F$5&lt;1,$F$5&gt;73415,MOD($F$5,1)&lt;&gt;0)</formula>
    </cfRule>
  </conditionalFormatting>
  <dataValidations count="2">
    <dataValidation type="list" sqref="C5">
      <formula1>$B$83:$B$92</formula1>
    </dataValidation>
    <dataValidation type="whole" operator="between" sqref="C11">
      <formula1>1</formula1>
      <formula2>3650</formula2>
    </dataValidation>
  </dataValidations>
  <hyperlinks>
    <hyperlink ref="B19" location="'Products'!A1" display="Set up stock"/>
    <hyperlink ref="B21" location="'Transactions'!A1" display="Record a movement"/>
    <hyperlink ref="B23" location="'PurchaseOrders'!A1" display="Enter a purchase"/>
    <hyperlink ref="B25" location="'Receiving'!A1" display="Receive purchases"/>
    <hyperlink ref="B27" location="'Inventory'!A1" display="Review inventory"/>
    <hyperlink ref="B29" location="'Reorder'!A1" display="Plan replenishment"/>
    <hyperlink ref="B31" location="'CountPrep'!A1" display="Prepare a count"/>
    <hyperlink ref="B33" location="'Stocktake'!A1" display="Record the count"/>
    <hyperlink ref="B35" location="'Adjustments'!A1" display="Post approved differences"/>
    <hyperlink ref="B37" location="'SKUHistory'!A1" display="Find SKU movements"/>
    <hyperlink ref="B39" location="'Archive'!A1" display="Review capacity / archiv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6" topLeftCell="C7" activePane="bottomRight" state="frozen"/>
    </sheetView>
  </sheetViews>
  <sheetFormatPr defaultRowHeight="15"/>
  <cols>
    <col min="1" max="1" width="19" hidden="0" customWidth="1"/>
    <col min="2" max="2" width="33" hidden="0" customWidth="1"/>
    <col min="3" max="3" width="14" hidden="0" customWidth="1"/>
    <col min="4" max="4" width="14" hidden="0" customWidth="1"/>
    <col min="5" max="5" width="14" hidden="0" customWidth="1"/>
    <col min="6" max="6" width="18" hidden="0" customWidth="1"/>
    <col min="7" max="7" width="14" hidden="0" customWidth="1"/>
    <col min="8" max="8" width="18" hidden="0" customWidth="1"/>
    <col min="9" max="9" width="14" hidden="0" customWidth="1"/>
    <col min="10" max="10" width="16" hidden="0" customWidth="1"/>
    <col min="11" max="11" width="18" hidden="0" customWidth="1"/>
    <col min="12" max="12" width="19" hidden="0" customWidth="1"/>
    <col min="13" max="13" width="22" hidden="0" customWidth="1"/>
    <col min="14" max="14" width="24" hidden="0" customWidth="1"/>
  </cols>
  <sheetData>
    <row r="1" ht="28" customHeight="1">
      <c r="A1" s="52" t="str">
        <v>Home</v>
      </c>
      <c r="B1" s="2"/>
      <c r="C1" s="2"/>
      <c r="D1" s="52" t="str">
        <v>Inventory</v>
      </c>
      <c r="E1" s="2"/>
      <c r="F1" s="2"/>
      <c r="G1" s="52" t="str">
        <v>Receive</v>
      </c>
      <c r="H1" s="2"/>
      <c r="I1" s="2"/>
      <c r="J1" s="52" t="str">
        <v>Reorder</v>
      </c>
      <c r="K1" s="2"/>
      <c r="L1" s="2"/>
      <c r="M1" s="2"/>
      <c r="N1" s="2"/>
    </row>
    <row r="2" ht="23" customHeight="1">
      <c r="A2" s="3" t="str">
        <v>Inventory position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6" customHeight="1">
      <c r="A3" s="4" t="str">
        <v>Stock includes valid movements through the as-of date. One stock pool per SKU. Available = on hand - backorders. Values use the product cost.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3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3" customHeight="1">
      <c r="A5" s="4" t="str">
        <f>"Region: "&amp;Start!$C$5&amp;"   Currency: "&amp;Start!$C$7&amp;"   Date: "&amp;Start!$F$7&amp;"   Display only; no currency conversion."</f>
        <v>Region: Australia   Currency: AUD   Date: dd/mm/yyyy   Display only; no currency conversion.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38" customHeight="1">
      <c r="A6" s="10" t="str">
        <v>SKU</v>
      </c>
      <c r="B6" s="10" t="str">
        <v>Product</v>
      </c>
      <c r="C6" s="10" t="str">
        <v>Opening</v>
      </c>
      <c r="D6" s="10" t="str">
        <v>Received</v>
      </c>
      <c r="E6" s="10" t="str">
        <v>Issued</v>
      </c>
      <c r="F6" s="10" t="str">
        <v>Net adjustments</v>
      </c>
      <c r="G6" s="10" t="str">
        <v>On hand</v>
      </c>
      <c r="H6" s="10" t="str">
        <v>Backorders</v>
      </c>
      <c r="I6" s="10" t="str">
        <v>Available</v>
      </c>
      <c r="J6" s="10" t="str">
        <v>Unit cost</v>
      </c>
      <c r="K6" s="10" t="str">
        <v>Stock value</v>
      </c>
      <c r="L6" s="10" t="str">
        <v>Cover (days)</v>
      </c>
      <c r="M6" s="10" t="str">
        <v>Stock state</v>
      </c>
      <c r="N6" s="10" t="str">
        <v>Data status</v>
      </c>
    </row>
    <row r="7" ht="23" customHeight="1">
      <c r="A7" s="6" t="str">
        <f>IF(LEN('Products'!A7)=0,"",'Products'!A7)</f>
        <v>SKU000123</v>
      </c>
      <c r="B7" s="6" t="str">
        <f>IF(LEN(A7)=0,"",'Products'!B7)</f>
        <v>Synthetic spare part</v>
      </c>
      <c r="C7" s="18" t="n">
        <f>IF(OR(LEN($A7)=0,$N7&lt;&gt;"Ready"),"",'Products'!E7)</f>
        <v>5</v>
      </c>
      <c r="D7" s="18" t="n">
        <f>IF(OR(A7="",N7&lt;&gt;"Ready"),"",SUMPRODUCT(--('Transactions'!$K$7:$K$106=A7),--('Transactions'!$D$7:$D$106="IN"),--('Transactions'!$H$7:$H$106="Ready"),--('Transactions'!$B$7:$B$106&lt;=Start!$F$5),'Transactions'!$E$7:$E$106))</f>
        <v>10</v>
      </c>
      <c r="E7" s="18" t="n">
        <f>IF(OR(A7="",N7&lt;&gt;"Ready"),"",SUMPRODUCT(--('Transactions'!$K$7:$K$106=A7),--('Transactions'!$D$7:$D$106="OUT"),--('Transactions'!$H$7:$H$106="Ready"),--('Transactions'!$B$7:$B$106&lt;=Start!$F$5),'Transactions'!$E$7:$E$106))</f>
        <v>0</v>
      </c>
      <c r="F7" s="18" t="n">
        <f>IF(OR(A7="",N7&lt;&gt;"Ready"),"",SUMPRODUCT(--('Transactions'!$K$7:$K$106=A7),--('Transactions'!$B$7:$B$106&lt;=Start!$F$5),'Transactions'!$I$7:$I$106)-D7+E7)</f>
        <v>-2</v>
      </c>
      <c r="G7" s="18" t="n">
        <f>IF(OR(LEN($A7)=0,$N7&lt;&gt;"Ready"),"",C7+D7-E7+F7)</f>
        <v>13</v>
      </c>
      <c r="H7" s="18" t="n">
        <f>IF(OR(LEN($A7)=0,$N7&lt;&gt;"Ready"),"",'Products'!M7)</f>
        <v>0</v>
      </c>
      <c r="I7" s="18" t="n">
        <f>IF(OR(LEN($A7)=0,$N7&lt;&gt;"Ready"),"",G7-H7)</f>
        <v>13</v>
      </c>
      <c r="J7" s="36" t="n">
        <f>IF(OR(LEN($A7)=0,$N7&lt;&gt;"Ready"),"",'Products'!F7)</f>
        <v>10</v>
      </c>
      <c r="K7" s="36" t="n">
        <f>IF(OR(LEN($A7)=0,$N7&lt;&gt;"Ready"),"",G7*J7)</f>
        <v>130</v>
      </c>
      <c r="L7" s="20" t="n">
        <f>IF(OR(OR(A7="",N7&lt;&gt;"Ready"),'Products'!S7=0),"",MAX(0,I7)/'Products'!S7)</f>
        <v>1.3</v>
      </c>
      <c r="M7" s="39" t="str">
        <f>IF(A7="","",IF(N7&lt;&gt;"Ready","Check inputs",IF(G7&lt;0,"Negative stock",IF(G7=0,"Out of stock",IF('Reorder'!V7="Stockout risk","Timing risk",IF('Reorder'!K7&gt;0,"Reorder","In stock"))))))</f>
        <v>Timing risk</v>
      </c>
      <c r="N7" s="39" t="str">
        <f>IF(A7="","",IF(NOT(AND(ISNUMBER(Start!$F$5),Start!$F$5&gt;=1,Start!$F$5&lt;=73415,MOD(Start!$F$5,1)=0)),"Set as-of date",IF(NOT(AND(ISNUMBER(Start!$C$11),Start!$C$11&gt;=1,Start!$C$11&lt;=3650,MOD(Start!$C$11,1)=0)),"Set demand days",IF('Products'!P7&lt;&gt;"Ready","Check Products",IF(SUMPRODUCT(--('Transactions'!$K$7:$K$106=A7),--('Transactions'!$H$7:$H$106&lt;&gt;"Ready"))&gt;0,"Check Transactions",IF(SUMPRODUCT(--('PurchaseOrders'!$C$7:$C$16=A7),--('PurchaseOrders'!$N$7:$N$16&lt;&gt;"Ready"))+SUMPRODUCT(--('PurchaseOrders'!$C$7:$C$16=A7),'PurchaseOrders'!$O$7:$O$16)&gt;0,"Check PurchaseOrders","Ready"))))))</f>
        <v>Ready</v>
      </c>
    </row>
    <row r="8" ht="23" customHeight="1">
      <c r="A8" s="6" t="str">
        <f>IF(LEN('Products'!A8)=0,"",'Products'!A8)</f>
        <v>WILD*?~</v>
      </c>
      <c r="B8" s="6" t="str">
        <f>IF(LEN(A8)=0,"",'Products'!B8)</f>
        <v>Synthetic fastener</v>
      </c>
      <c r="C8" s="18" t="n">
        <f>IF(OR(LEN($A8)=0,$N8&lt;&gt;"Ready"),"",'Products'!E8)</f>
        <v>200</v>
      </c>
      <c r="D8" s="18" t="n">
        <f>IF(OR(A8="",N8&lt;&gt;"Ready"),"",SUMPRODUCT(--('Transactions'!$K$7:$K$106=A8),--('Transactions'!$D$7:$D$106="IN"),--('Transactions'!$H$7:$H$106="Ready"),--('Transactions'!$B$7:$B$106&lt;=Start!$F$5),'Transactions'!$E$7:$E$106))</f>
        <v>0</v>
      </c>
      <c r="E8" s="18" t="n">
        <f>IF(OR(A8="",N8&lt;&gt;"Ready"),"",SUMPRODUCT(--('Transactions'!$K$7:$K$106=A8),--('Transactions'!$D$7:$D$106="OUT"),--('Transactions'!$H$7:$H$106="Ready"),--('Transactions'!$B$7:$B$106&lt;=Start!$F$5),'Transactions'!$E$7:$E$106))</f>
        <v>90</v>
      </c>
      <c r="F8" s="18" t="n">
        <f>IF(OR(A8="",N8&lt;&gt;"Ready"),"",SUMPRODUCT(--('Transactions'!$K$7:$K$106=A8),--('Transactions'!$B$7:$B$106&lt;=Start!$F$5),'Transactions'!$I$7:$I$106)-D8+E8)</f>
        <v>0</v>
      </c>
      <c r="G8" s="18" t="n">
        <f>IF(OR(LEN($A8)=0,$N8&lt;&gt;"Ready"),"",C8+D8-E8+F8)</f>
        <v>110</v>
      </c>
      <c r="H8" s="18" t="n">
        <f>IF(OR(LEN($A8)=0,$N8&lt;&gt;"Ready"),"",'Products'!M8)</f>
        <v>0</v>
      </c>
      <c r="I8" s="18" t="n">
        <f>IF(OR(LEN($A8)=0,$N8&lt;&gt;"Ready"),"",G8-H8)</f>
        <v>110</v>
      </c>
      <c r="J8" s="36" t="n">
        <f>IF(OR(LEN($A8)=0,$N8&lt;&gt;"Ready"),"",'Products'!F8)</f>
        <v>2</v>
      </c>
      <c r="K8" s="36" t="n">
        <f>IF(OR(LEN($A8)=0,$N8&lt;&gt;"Ready"),"",G8*J8)</f>
        <v>220</v>
      </c>
      <c r="L8" s="20" t="n">
        <f>IF(OR(OR(A8="",N8&lt;&gt;"Ready"),'Products'!S8=0),"",MAX(0,I8)/'Products'!S8)</f>
        <v>110</v>
      </c>
      <c r="M8" s="39" t="str">
        <f>IF(A8="","",IF(N8&lt;&gt;"Ready","Check inputs",IF(G8&lt;0,"Negative stock",IF(G8=0,"Out of stock",IF('Reorder'!V8="Stockout risk","Timing risk",IF('Reorder'!K8&gt;0,"Reorder","In stock"))))))</f>
        <v>In stock</v>
      </c>
      <c r="N8" s="39" t="str">
        <f>IF(A8="","",IF(NOT(AND(ISNUMBER(Start!$F$5),Start!$F$5&gt;=1,Start!$F$5&lt;=73415,MOD(Start!$F$5,1)=0)),"Set as-of date",IF(NOT(AND(ISNUMBER(Start!$C$11),Start!$C$11&gt;=1,Start!$C$11&lt;=3650,MOD(Start!$C$11,1)=0)),"Set demand days",IF('Products'!P8&lt;&gt;"Ready","Check Products",IF(SUMPRODUCT(--('Transactions'!$K$7:$K$106=A8),--('Transactions'!$H$7:$H$106&lt;&gt;"Ready"))&gt;0,"Check Transactions",IF(SUMPRODUCT(--('PurchaseOrders'!$C$7:$C$16=A8),--('PurchaseOrders'!$N$7:$N$16&lt;&gt;"Ready"))+SUMPRODUCT(--('PurchaseOrders'!$C$7:$C$16=A8),'PurchaseOrders'!$O$7:$O$16)&gt;0,"Check PurchaseOrders","Ready"))))))</f>
        <v>Ready</v>
      </c>
    </row>
    <row r="9" ht="23" customHeight="1">
      <c r="A9" s="6" t="str">
        <f>IF(LEN('Products'!A9)=0,"",'Products'!A9)</f>
      </c>
      <c r="B9" s="6" t="str">
        <f>IF(LEN(A9)=0,"",'Products'!B9)</f>
      </c>
      <c r="C9" s="18" t="str">
        <f>IF(OR(LEN($A9)=0,$N9&lt;&gt;"Ready"),"",'Products'!E9)</f>
      </c>
      <c r="D9" s="18" t="str">
        <f>IF(OR(A9="",N9&lt;&gt;"Ready"),"",SUMPRODUCT(--('Transactions'!$K$7:$K$106=A9),--('Transactions'!$D$7:$D$106="IN"),--('Transactions'!$H$7:$H$106="Ready"),--('Transactions'!$B$7:$B$106&lt;=Start!$F$5),'Transactions'!$E$7:$E$106))</f>
      </c>
      <c r="E9" s="18" t="str">
        <f>IF(OR(A9="",N9&lt;&gt;"Ready"),"",SUMPRODUCT(--('Transactions'!$K$7:$K$106=A9),--('Transactions'!$D$7:$D$106="OUT"),--('Transactions'!$H$7:$H$106="Ready"),--('Transactions'!$B$7:$B$106&lt;=Start!$F$5),'Transactions'!$E$7:$E$106))</f>
      </c>
      <c r="F9" s="18" t="str">
        <f>IF(OR(A9="",N9&lt;&gt;"Ready"),"",SUMPRODUCT(--('Transactions'!$K$7:$K$106=A9),--('Transactions'!$B$7:$B$106&lt;=Start!$F$5),'Transactions'!$I$7:$I$106)-D9+E9)</f>
      </c>
      <c r="G9" s="18" t="str">
        <f>IF(OR(LEN($A9)=0,$N9&lt;&gt;"Ready"),"",C9+D9-E9+F9)</f>
      </c>
      <c r="H9" s="18" t="str">
        <f>IF(OR(LEN($A9)=0,$N9&lt;&gt;"Ready"),"",'Products'!M9)</f>
      </c>
      <c r="I9" s="18" t="str">
        <f>IF(OR(LEN($A9)=0,$N9&lt;&gt;"Ready"),"",G9-H9)</f>
      </c>
      <c r="J9" s="36" t="str">
        <f>IF(OR(LEN($A9)=0,$N9&lt;&gt;"Ready"),"",'Products'!F9)</f>
      </c>
      <c r="K9" s="36" t="str">
        <f>IF(OR(LEN($A9)=0,$N9&lt;&gt;"Ready"),"",G9*J9)</f>
      </c>
      <c r="L9" s="20" t="str">
        <f>IF(OR(OR(A9="",N9&lt;&gt;"Ready"),'Products'!S9=0),"",MAX(0,I9)/'Products'!S9)</f>
      </c>
      <c r="M9" s="39" t="str">
        <f>IF(A9="","",IF(N9&lt;&gt;"Ready","Check inputs",IF(G9&lt;0,"Negative stock",IF(G9=0,"Out of stock",IF('Reorder'!V9="Stockout risk","Timing risk",IF('Reorder'!K9&gt;0,"Reorder","In stock"))))))</f>
      </c>
      <c r="N9" s="39" t="str">
        <f>IF(A9="","",IF(NOT(AND(ISNUMBER(Start!$F$5),Start!$F$5&gt;=1,Start!$F$5&lt;=73415,MOD(Start!$F$5,1)=0)),"Set as-of date",IF(NOT(AND(ISNUMBER(Start!$C$11),Start!$C$11&gt;=1,Start!$C$11&lt;=3650,MOD(Start!$C$11,1)=0)),"Set demand days",IF('Products'!P9&lt;&gt;"Ready","Check Products",IF(SUMPRODUCT(--('Transactions'!$K$7:$K$106=A9),--('Transactions'!$H$7:$H$106&lt;&gt;"Ready"))&gt;0,"Check Transactions",IF(SUMPRODUCT(--('PurchaseOrders'!$C$7:$C$16=A9),--('PurchaseOrders'!$N$7:$N$16&lt;&gt;"Ready"))+SUMPRODUCT(--('PurchaseOrders'!$C$7:$C$16=A9),'PurchaseOrders'!$O$7:$O$16)&gt;0,"Check PurchaseOrders","Ready"))))))</f>
      </c>
    </row>
    <row r="10" ht="23" customHeight="1">
      <c r="A10" s="6" t="str">
        <f>IF(LEN('Products'!A10)=0,"",'Products'!A10)</f>
      </c>
      <c r="B10" s="6" t="str">
        <f>IF(LEN(A10)=0,"",'Products'!B10)</f>
      </c>
      <c r="C10" s="18" t="str">
        <f>IF(OR(LEN($A10)=0,$N10&lt;&gt;"Ready"),"",'Products'!E10)</f>
      </c>
      <c r="D10" s="18" t="str">
        <f>IF(OR(A10="",N10&lt;&gt;"Ready"),"",SUMPRODUCT(--('Transactions'!$K$7:$K$106=A10),--('Transactions'!$D$7:$D$106="IN"),--('Transactions'!$H$7:$H$106="Ready"),--('Transactions'!$B$7:$B$106&lt;=Start!$F$5),'Transactions'!$E$7:$E$106))</f>
      </c>
      <c r="E10" s="18" t="str">
        <f>IF(OR(A10="",N10&lt;&gt;"Ready"),"",SUMPRODUCT(--('Transactions'!$K$7:$K$106=A10),--('Transactions'!$D$7:$D$106="OUT"),--('Transactions'!$H$7:$H$106="Ready"),--('Transactions'!$B$7:$B$106&lt;=Start!$F$5),'Transactions'!$E$7:$E$106))</f>
      </c>
      <c r="F10" s="18" t="str">
        <f>IF(OR(A10="",N10&lt;&gt;"Ready"),"",SUMPRODUCT(--('Transactions'!$K$7:$K$106=A10),--('Transactions'!$B$7:$B$106&lt;=Start!$F$5),'Transactions'!$I$7:$I$106)-D10+E10)</f>
      </c>
      <c r="G10" s="18" t="str">
        <f>IF(OR(LEN($A10)=0,$N10&lt;&gt;"Ready"),"",C10+D10-E10+F10)</f>
      </c>
      <c r="H10" s="18" t="str">
        <f>IF(OR(LEN($A10)=0,$N10&lt;&gt;"Ready"),"",'Products'!M10)</f>
      </c>
      <c r="I10" s="18" t="str">
        <f>IF(OR(LEN($A10)=0,$N10&lt;&gt;"Ready"),"",G10-H10)</f>
      </c>
      <c r="J10" s="36" t="str">
        <f>IF(OR(LEN($A10)=0,$N10&lt;&gt;"Ready"),"",'Products'!F10)</f>
      </c>
      <c r="K10" s="36" t="str">
        <f>IF(OR(LEN($A10)=0,$N10&lt;&gt;"Ready"),"",G10*J10)</f>
      </c>
      <c r="L10" s="20" t="str">
        <f>IF(OR(OR(A10="",N10&lt;&gt;"Ready"),'Products'!S10=0),"",MAX(0,I10)/'Products'!S10)</f>
      </c>
      <c r="M10" s="39" t="str">
        <f>IF(A10="","",IF(N10&lt;&gt;"Ready","Check inputs",IF(G10&lt;0,"Negative stock",IF(G10=0,"Out of stock",IF('Reorder'!V10="Stockout risk","Timing risk",IF('Reorder'!K10&gt;0,"Reorder","In stock"))))))</f>
      </c>
      <c r="N10" s="39" t="str">
        <f>IF(A10="","",IF(NOT(AND(ISNUMBER(Start!$F$5),Start!$F$5&gt;=1,Start!$F$5&lt;=73415,MOD(Start!$F$5,1)=0)),"Set as-of date",IF(NOT(AND(ISNUMBER(Start!$C$11),Start!$C$11&gt;=1,Start!$C$11&lt;=3650,MOD(Start!$C$11,1)=0)),"Set demand days",IF('Products'!P10&lt;&gt;"Ready","Check Products",IF(SUMPRODUCT(--('Transactions'!$K$7:$K$106=A10),--('Transactions'!$H$7:$H$106&lt;&gt;"Ready"))&gt;0,"Check Transactions",IF(SUMPRODUCT(--('PurchaseOrders'!$C$7:$C$16=A10),--('PurchaseOrders'!$N$7:$N$16&lt;&gt;"Ready"))+SUMPRODUCT(--('PurchaseOrders'!$C$7:$C$16=A10),'PurchaseOrders'!$O$7:$O$16)&gt;0,"Check PurchaseOrders","Ready"))))))</f>
      </c>
    </row>
    <row r="11" ht="23" customHeight="1">
      <c r="A11" s="6" t="str">
        <f>IF(LEN('Products'!A11)=0,"",'Products'!A11)</f>
      </c>
      <c r="B11" s="6" t="str">
        <f>IF(LEN(A11)=0,"",'Products'!B11)</f>
      </c>
      <c r="C11" s="18" t="str">
        <f>IF(OR(LEN($A11)=0,$N11&lt;&gt;"Ready"),"",'Products'!E11)</f>
      </c>
      <c r="D11" s="18" t="str">
        <f>IF(OR(A11="",N11&lt;&gt;"Ready"),"",SUMPRODUCT(--('Transactions'!$K$7:$K$106=A11),--('Transactions'!$D$7:$D$106="IN"),--('Transactions'!$H$7:$H$106="Ready"),--('Transactions'!$B$7:$B$106&lt;=Start!$F$5),'Transactions'!$E$7:$E$106))</f>
      </c>
      <c r="E11" s="18" t="str">
        <f>IF(OR(A11="",N11&lt;&gt;"Ready"),"",SUMPRODUCT(--('Transactions'!$K$7:$K$106=A11),--('Transactions'!$D$7:$D$106="OUT"),--('Transactions'!$H$7:$H$106="Ready"),--('Transactions'!$B$7:$B$106&lt;=Start!$F$5),'Transactions'!$E$7:$E$106))</f>
      </c>
      <c r="F11" s="18" t="str">
        <f>IF(OR(A11="",N11&lt;&gt;"Ready"),"",SUMPRODUCT(--('Transactions'!$K$7:$K$106=A11),--('Transactions'!$B$7:$B$106&lt;=Start!$F$5),'Transactions'!$I$7:$I$106)-D11+E11)</f>
      </c>
      <c r="G11" s="18" t="str">
        <f>IF(OR(LEN($A11)=0,$N11&lt;&gt;"Ready"),"",C11+D11-E11+F11)</f>
      </c>
      <c r="H11" s="18" t="str">
        <f>IF(OR(LEN($A11)=0,$N11&lt;&gt;"Ready"),"",'Products'!M11)</f>
      </c>
      <c r="I11" s="18" t="str">
        <f>IF(OR(LEN($A11)=0,$N11&lt;&gt;"Ready"),"",G11-H11)</f>
      </c>
      <c r="J11" s="36" t="str">
        <f>IF(OR(LEN($A11)=0,$N11&lt;&gt;"Ready"),"",'Products'!F11)</f>
      </c>
      <c r="K11" s="36" t="str">
        <f>IF(OR(LEN($A11)=0,$N11&lt;&gt;"Ready"),"",G11*J11)</f>
      </c>
      <c r="L11" s="20" t="str">
        <f>IF(OR(OR(A11="",N11&lt;&gt;"Ready"),'Products'!S11=0),"",MAX(0,I11)/'Products'!S11)</f>
      </c>
      <c r="M11" s="39" t="str">
        <f>IF(A11="","",IF(N11&lt;&gt;"Ready","Check inputs",IF(G11&lt;0,"Negative stock",IF(G11=0,"Out of stock",IF('Reorder'!V11="Stockout risk","Timing risk",IF('Reorder'!K11&gt;0,"Reorder","In stock"))))))</f>
      </c>
      <c r="N11" s="39" t="str">
        <f>IF(A11="","",IF(NOT(AND(ISNUMBER(Start!$F$5),Start!$F$5&gt;=1,Start!$F$5&lt;=73415,MOD(Start!$F$5,1)=0)),"Set as-of date",IF(NOT(AND(ISNUMBER(Start!$C$11),Start!$C$11&gt;=1,Start!$C$11&lt;=3650,MOD(Start!$C$11,1)=0)),"Set demand days",IF('Products'!P11&lt;&gt;"Ready","Check Products",IF(SUMPRODUCT(--('Transactions'!$K$7:$K$106=A11),--('Transactions'!$H$7:$H$106&lt;&gt;"Ready"))&gt;0,"Check Transactions",IF(SUMPRODUCT(--('PurchaseOrders'!$C$7:$C$16=A11),--('PurchaseOrders'!$N$7:$N$16&lt;&gt;"Ready"))+SUMPRODUCT(--('PurchaseOrders'!$C$7:$C$16=A11),'PurchaseOrders'!$O$7:$O$16)&gt;0,"Check PurchaseOrders","Ready"))))))</f>
      </c>
    </row>
    <row r="12" ht="23" customHeight="1">
      <c r="A12" s="6" t="str">
        <f>IF(LEN('Products'!A12)=0,"",'Products'!A12)</f>
      </c>
      <c r="B12" s="6" t="str">
        <f>IF(LEN(A12)=0,"",'Products'!B12)</f>
      </c>
      <c r="C12" s="18" t="str">
        <f>IF(OR(LEN($A12)=0,$N12&lt;&gt;"Ready"),"",'Products'!E12)</f>
      </c>
      <c r="D12" s="18" t="str">
        <f>IF(OR(A12="",N12&lt;&gt;"Ready"),"",SUMPRODUCT(--('Transactions'!$K$7:$K$106=A12),--('Transactions'!$D$7:$D$106="IN"),--('Transactions'!$H$7:$H$106="Ready"),--('Transactions'!$B$7:$B$106&lt;=Start!$F$5),'Transactions'!$E$7:$E$106))</f>
      </c>
      <c r="E12" s="18" t="str">
        <f>IF(OR(A12="",N12&lt;&gt;"Ready"),"",SUMPRODUCT(--('Transactions'!$K$7:$K$106=A12),--('Transactions'!$D$7:$D$106="OUT"),--('Transactions'!$H$7:$H$106="Ready"),--('Transactions'!$B$7:$B$106&lt;=Start!$F$5),'Transactions'!$E$7:$E$106))</f>
      </c>
      <c r="F12" s="18" t="str">
        <f>IF(OR(A12="",N12&lt;&gt;"Ready"),"",SUMPRODUCT(--('Transactions'!$K$7:$K$106=A12),--('Transactions'!$B$7:$B$106&lt;=Start!$F$5),'Transactions'!$I$7:$I$106)-D12+E12)</f>
      </c>
      <c r="G12" s="18" t="str">
        <f>IF(OR(LEN($A12)=0,$N12&lt;&gt;"Ready"),"",C12+D12-E12+F12)</f>
      </c>
      <c r="H12" s="18" t="str">
        <f>IF(OR(LEN($A12)=0,$N12&lt;&gt;"Ready"),"",'Products'!M12)</f>
      </c>
      <c r="I12" s="18" t="str">
        <f>IF(OR(LEN($A12)=0,$N12&lt;&gt;"Ready"),"",G12-H12)</f>
      </c>
      <c r="J12" s="36" t="str">
        <f>IF(OR(LEN($A12)=0,$N12&lt;&gt;"Ready"),"",'Products'!F12)</f>
      </c>
      <c r="K12" s="36" t="str">
        <f>IF(OR(LEN($A12)=0,$N12&lt;&gt;"Ready"),"",G12*J12)</f>
      </c>
      <c r="L12" s="20" t="str">
        <f>IF(OR(OR(A12="",N12&lt;&gt;"Ready"),'Products'!S12=0),"",MAX(0,I12)/'Products'!S12)</f>
      </c>
      <c r="M12" s="39" t="str">
        <f>IF(A12="","",IF(N12&lt;&gt;"Ready","Check inputs",IF(G12&lt;0,"Negative stock",IF(G12=0,"Out of stock",IF('Reorder'!V12="Stockout risk","Timing risk",IF('Reorder'!K12&gt;0,"Reorder","In stock"))))))</f>
      </c>
      <c r="N12" s="39" t="str">
        <f>IF(A12="","",IF(NOT(AND(ISNUMBER(Start!$F$5),Start!$F$5&gt;=1,Start!$F$5&lt;=73415,MOD(Start!$F$5,1)=0)),"Set as-of date",IF(NOT(AND(ISNUMBER(Start!$C$11),Start!$C$11&gt;=1,Start!$C$11&lt;=3650,MOD(Start!$C$11,1)=0)),"Set demand days",IF('Products'!P12&lt;&gt;"Ready","Check Products",IF(SUMPRODUCT(--('Transactions'!$K$7:$K$106=A12),--('Transactions'!$H$7:$H$106&lt;&gt;"Ready"))&gt;0,"Check Transactions",IF(SUMPRODUCT(--('PurchaseOrders'!$C$7:$C$16=A12),--('PurchaseOrders'!$N$7:$N$16&lt;&gt;"Ready"))+SUMPRODUCT(--('PurchaseOrders'!$C$7:$C$16=A12),'PurchaseOrders'!$O$7:$O$16)&gt;0,"Check PurchaseOrders","Ready"))))))</f>
      </c>
    </row>
    <row r="13" ht="23" customHeight="1">
      <c r="A13" s="6" t="str">
        <f>IF(LEN('Products'!A13)=0,"",'Products'!A13)</f>
      </c>
      <c r="B13" s="6" t="str">
        <f>IF(LEN(A13)=0,"",'Products'!B13)</f>
      </c>
      <c r="C13" s="18" t="str">
        <f>IF(OR(LEN($A13)=0,$N13&lt;&gt;"Ready"),"",'Products'!E13)</f>
      </c>
      <c r="D13" s="18" t="str">
        <f>IF(OR(A13="",N13&lt;&gt;"Ready"),"",SUMPRODUCT(--('Transactions'!$K$7:$K$106=A13),--('Transactions'!$D$7:$D$106="IN"),--('Transactions'!$H$7:$H$106="Ready"),--('Transactions'!$B$7:$B$106&lt;=Start!$F$5),'Transactions'!$E$7:$E$106))</f>
      </c>
      <c r="E13" s="18" t="str">
        <f>IF(OR(A13="",N13&lt;&gt;"Ready"),"",SUMPRODUCT(--('Transactions'!$K$7:$K$106=A13),--('Transactions'!$D$7:$D$106="OUT"),--('Transactions'!$H$7:$H$106="Ready"),--('Transactions'!$B$7:$B$106&lt;=Start!$F$5),'Transactions'!$E$7:$E$106))</f>
      </c>
      <c r="F13" s="18" t="str">
        <f>IF(OR(A13="",N13&lt;&gt;"Ready"),"",SUMPRODUCT(--('Transactions'!$K$7:$K$106=A13),--('Transactions'!$B$7:$B$106&lt;=Start!$F$5),'Transactions'!$I$7:$I$106)-D13+E13)</f>
      </c>
      <c r="G13" s="18" t="str">
        <f>IF(OR(LEN($A13)=0,$N13&lt;&gt;"Ready"),"",C13+D13-E13+F13)</f>
      </c>
      <c r="H13" s="18" t="str">
        <f>IF(OR(LEN($A13)=0,$N13&lt;&gt;"Ready"),"",'Products'!M13)</f>
      </c>
      <c r="I13" s="18" t="str">
        <f>IF(OR(LEN($A13)=0,$N13&lt;&gt;"Ready"),"",G13-H13)</f>
      </c>
      <c r="J13" s="36" t="str">
        <f>IF(OR(LEN($A13)=0,$N13&lt;&gt;"Ready"),"",'Products'!F13)</f>
      </c>
      <c r="K13" s="36" t="str">
        <f>IF(OR(LEN($A13)=0,$N13&lt;&gt;"Ready"),"",G13*J13)</f>
      </c>
      <c r="L13" s="20" t="str">
        <f>IF(OR(OR(A13="",N13&lt;&gt;"Ready"),'Products'!S13=0),"",MAX(0,I13)/'Products'!S13)</f>
      </c>
      <c r="M13" s="39" t="str">
        <f>IF(A13="","",IF(N13&lt;&gt;"Ready","Check inputs",IF(G13&lt;0,"Negative stock",IF(G13=0,"Out of stock",IF('Reorder'!V13="Stockout risk","Timing risk",IF('Reorder'!K13&gt;0,"Reorder","In stock"))))))</f>
      </c>
      <c r="N13" s="39" t="str">
        <f>IF(A13="","",IF(NOT(AND(ISNUMBER(Start!$F$5),Start!$F$5&gt;=1,Start!$F$5&lt;=73415,MOD(Start!$F$5,1)=0)),"Set as-of date",IF(NOT(AND(ISNUMBER(Start!$C$11),Start!$C$11&gt;=1,Start!$C$11&lt;=3650,MOD(Start!$C$11,1)=0)),"Set demand days",IF('Products'!P13&lt;&gt;"Ready","Check Products",IF(SUMPRODUCT(--('Transactions'!$K$7:$K$106=A13),--('Transactions'!$H$7:$H$106&lt;&gt;"Ready"))&gt;0,"Check Transactions",IF(SUMPRODUCT(--('PurchaseOrders'!$C$7:$C$16=A13),--('PurchaseOrders'!$N$7:$N$16&lt;&gt;"Ready"))+SUMPRODUCT(--('PurchaseOrders'!$C$7:$C$16=A13),'PurchaseOrders'!$O$7:$O$16)&gt;0,"Check PurchaseOrders","Ready"))))))</f>
      </c>
    </row>
    <row r="14" ht="23" customHeight="1">
      <c r="A14" s="6" t="str">
        <f>IF(LEN('Products'!A14)=0,"",'Products'!A14)</f>
      </c>
      <c r="B14" s="6" t="str">
        <f>IF(LEN(A14)=0,"",'Products'!B14)</f>
      </c>
      <c r="C14" s="18" t="str">
        <f>IF(OR(LEN($A14)=0,$N14&lt;&gt;"Ready"),"",'Products'!E14)</f>
      </c>
      <c r="D14" s="18" t="str">
        <f>IF(OR(A14="",N14&lt;&gt;"Ready"),"",SUMPRODUCT(--('Transactions'!$K$7:$K$106=A14),--('Transactions'!$D$7:$D$106="IN"),--('Transactions'!$H$7:$H$106="Ready"),--('Transactions'!$B$7:$B$106&lt;=Start!$F$5),'Transactions'!$E$7:$E$106))</f>
      </c>
      <c r="E14" s="18" t="str">
        <f>IF(OR(A14="",N14&lt;&gt;"Ready"),"",SUMPRODUCT(--('Transactions'!$K$7:$K$106=A14),--('Transactions'!$D$7:$D$106="OUT"),--('Transactions'!$H$7:$H$106="Ready"),--('Transactions'!$B$7:$B$106&lt;=Start!$F$5),'Transactions'!$E$7:$E$106))</f>
      </c>
      <c r="F14" s="18" t="str">
        <f>IF(OR(A14="",N14&lt;&gt;"Ready"),"",SUMPRODUCT(--('Transactions'!$K$7:$K$106=A14),--('Transactions'!$B$7:$B$106&lt;=Start!$F$5),'Transactions'!$I$7:$I$106)-D14+E14)</f>
      </c>
      <c r="G14" s="18" t="str">
        <f>IF(OR(LEN($A14)=0,$N14&lt;&gt;"Ready"),"",C14+D14-E14+F14)</f>
      </c>
      <c r="H14" s="18" t="str">
        <f>IF(OR(LEN($A14)=0,$N14&lt;&gt;"Ready"),"",'Products'!M14)</f>
      </c>
      <c r="I14" s="18" t="str">
        <f>IF(OR(LEN($A14)=0,$N14&lt;&gt;"Ready"),"",G14-H14)</f>
      </c>
      <c r="J14" s="36" t="str">
        <f>IF(OR(LEN($A14)=0,$N14&lt;&gt;"Ready"),"",'Products'!F14)</f>
      </c>
      <c r="K14" s="36" t="str">
        <f>IF(OR(LEN($A14)=0,$N14&lt;&gt;"Ready"),"",G14*J14)</f>
      </c>
      <c r="L14" s="20" t="str">
        <f>IF(OR(OR(A14="",N14&lt;&gt;"Ready"),'Products'!S14=0),"",MAX(0,I14)/'Products'!S14)</f>
      </c>
      <c r="M14" s="39" t="str">
        <f>IF(A14="","",IF(N14&lt;&gt;"Ready","Check inputs",IF(G14&lt;0,"Negative stock",IF(G14=0,"Out of stock",IF('Reorder'!V14="Stockout risk","Timing risk",IF('Reorder'!K14&gt;0,"Reorder","In stock"))))))</f>
      </c>
      <c r="N14" s="39" t="str">
        <f>IF(A14="","",IF(NOT(AND(ISNUMBER(Start!$F$5),Start!$F$5&gt;=1,Start!$F$5&lt;=73415,MOD(Start!$F$5,1)=0)),"Set as-of date",IF(NOT(AND(ISNUMBER(Start!$C$11),Start!$C$11&gt;=1,Start!$C$11&lt;=3650,MOD(Start!$C$11,1)=0)),"Set demand days",IF('Products'!P14&lt;&gt;"Ready","Check Products",IF(SUMPRODUCT(--('Transactions'!$K$7:$K$106=A14),--('Transactions'!$H$7:$H$106&lt;&gt;"Ready"))&gt;0,"Check Transactions",IF(SUMPRODUCT(--('PurchaseOrders'!$C$7:$C$16=A14),--('PurchaseOrders'!$N$7:$N$16&lt;&gt;"Ready"))+SUMPRODUCT(--('PurchaseOrders'!$C$7:$C$16=A14),'PurchaseOrders'!$O$7:$O$16)&gt;0,"Check PurchaseOrders","Ready"))))))</f>
      </c>
    </row>
    <row r="15" ht="23" customHeight="1">
      <c r="A15" s="6" t="str">
        <f>IF(LEN('Products'!A15)=0,"",'Products'!A15)</f>
      </c>
      <c r="B15" s="6" t="str">
        <f>IF(LEN(A15)=0,"",'Products'!B15)</f>
      </c>
      <c r="C15" s="18" t="str">
        <f>IF(OR(LEN($A15)=0,$N15&lt;&gt;"Ready"),"",'Products'!E15)</f>
      </c>
      <c r="D15" s="18" t="str">
        <f>IF(OR(A15="",N15&lt;&gt;"Ready"),"",SUMPRODUCT(--('Transactions'!$K$7:$K$106=A15),--('Transactions'!$D$7:$D$106="IN"),--('Transactions'!$H$7:$H$106="Ready"),--('Transactions'!$B$7:$B$106&lt;=Start!$F$5),'Transactions'!$E$7:$E$106))</f>
      </c>
      <c r="E15" s="18" t="str">
        <f>IF(OR(A15="",N15&lt;&gt;"Ready"),"",SUMPRODUCT(--('Transactions'!$K$7:$K$106=A15),--('Transactions'!$D$7:$D$106="OUT"),--('Transactions'!$H$7:$H$106="Ready"),--('Transactions'!$B$7:$B$106&lt;=Start!$F$5),'Transactions'!$E$7:$E$106))</f>
      </c>
      <c r="F15" s="18" t="str">
        <f>IF(OR(A15="",N15&lt;&gt;"Ready"),"",SUMPRODUCT(--('Transactions'!$K$7:$K$106=A15),--('Transactions'!$B$7:$B$106&lt;=Start!$F$5),'Transactions'!$I$7:$I$106)-D15+E15)</f>
      </c>
      <c r="G15" s="18" t="str">
        <f>IF(OR(LEN($A15)=0,$N15&lt;&gt;"Ready"),"",C15+D15-E15+F15)</f>
      </c>
      <c r="H15" s="18" t="str">
        <f>IF(OR(LEN($A15)=0,$N15&lt;&gt;"Ready"),"",'Products'!M15)</f>
      </c>
      <c r="I15" s="18" t="str">
        <f>IF(OR(LEN($A15)=0,$N15&lt;&gt;"Ready"),"",G15-H15)</f>
      </c>
      <c r="J15" s="36" t="str">
        <f>IF(OR(LEN($A15)=0,$N15&lt;&gt;"Ready"),"",'Products'!F15)</f>
      </c>
      <c r="K15" s="36" t="str">
        <f>IF(OR(LEN($A15)=0,$N15&lt;&gt;"Ready"),"",G15*J15)</f>
      </c>
      <c r="L15" s="20" t="str">
        <f>IF(OR(OR(A15="",N15&lt;&gt;"Ready"),'Products'!S15=0),"",MAX(0,I15)/'Products'!S15)</f>
      </c>
      <c r="M15" s="39" t="str">
        <f>IF(A15="","",IF(N15&lt;&gt;"Ready","Check inputs",IF(G15&lt;0,"Negative stock",IF(G15=0,"Out of stock",IF('Reorder'!V15="Stockout risk","Timing risk",IF('Reorder'!K15&gt;0,"Reorder","In stock"))))))</f>
      </c>
      <c r="N15" s="39" t="str">
        <f>IF(A15="","",IF(NOT(AND(ISNUMBER(Start!$F$5),Start!$F$5&gt;=1,Start!$F$5&lt;=73415,MOD(Start!$F$5,1)=0)),"Set as-of date",IF(NOT(AND(ISNUMBER(Start!$C$11),Start!$C$11&gt;=1,Start!$C$11&lt;=3650,MOD(Start!$C$11,1)=0)),"Set demand days",IF('Products'!P15&lt;&gt;"Ready","Check Products",IF(SUMPRODUCT(--('Transactions'!$K$7:$K$106=A15),--('Transactions'!$H$7:$H$106&lt;&gt;"Ready"))&gt;0,"Check Transactions",IF(SUMPRODUCT(--('PurchaseOrders'!$C$7:$C$16=A15),--('PurchaseOrders'!$N$7:$N$16&lt;&gt;"Ready"))+SUMPRODUCT(--('PurchaseOrders'!$C$7:$C$16=A15),'PurchaseOrders'!$O$7:$O$16)&gt;0,"Check PurchaseOrders","Ready"))))))</f>
      </c>
    </row>
    <row r="16" ht="23" customHeight="1">
      <c r="A16" s="6" t="str">
        <f>IF(LEN('Products'!A16)=0,"",'Products'!A16)</f>
      </c>
      <c r="B16" s="6" t="str">
        <f>IF(LEN(A16)=0,"",'Products'!B16)</f>
      </c>
      <c r="C16" s="18" t="str">
        <f>IF(OR(LEN($A16)=0,$N16&lt;&gt;"Ready"),"",'Products'!E16)</f>
      </c>
      <c r="D16" s="18" t="str">
        <f>IF(OR(A16="",N16&lt;&gt;"Ready"),"",SUMPRODUCT(--('Transactions'!$K$7:$K$106=A16),--('Transactions'!$D$7:$D$106="IN"),--('Transactions'!$H$7:$H$106="Ready"),--('Transactions'!$B$7:$B$106&lt;=Start!$F$5),'Transactions'!$E$7:$E$106))</f>
      </c>
      <c r="E16" s="18" t="str">
        <f>IF(OR(A16="",N16&lt;&gt;"Ready"),"",SUMPRODUCT(--('Transactions'!$K$7:$K$106=A16),--('Transactions'!$D$7:$D$106="OUT"),--('Transactions'!$H$7:$H$106="Ready"),--('Transactions'!$B$7:$B$106&lt;=Start!$F$5),'Transactions'!$E$7:$E$106))</f>
      </c>
      <c r="F16" s="18" t="str">
        <f>IF(OR(A16="",N16&lt;&gt;"Ready"),"",SUMPRODUCT(--('Transactions'!$K$7:$K$106=A16),--('Transactions'!$B$7:$B$106&lt;=Start!$F$5),'Transactions'!$I$7:$I$106)-D16+E16)</f>
      </c>
      <c r="G16" s="18" t="str">
        <f>IF(OR(LEN($A16)=0,$N16&lt;&gt;"Ready"),"",C16+D16-E16+F16)</f>
      </c>
      <c r="H16" s="18" t="str">
        <f>IF(OR(LEN($A16)=0,$N16&lt;&gt;"Ready"),"",'Products'!M16)</f>
      </c>
      <c r="I16" s="18" t="str">
        <f>IF(OR(LEN($A16)=0,$N16&lt;&gt;"Ready"),"",G16-H16)</f>
      </c>
      <c r="J16" s="36" t="str">
        <f>IF(OR(LEN($A16)=0,$N16&lt;&gt;"Ready"),"",'Products'!F16)</f>
      </c>
      <c r="K16" s="36" t="str">
        <f>IF(OR(LEN($A16)=0,$N16&lt;&gt;"Ready"),"",G16*J16)</f>
      </c>
      <c r="L16" s="20" t="str">
        <f>IF(OR(OR(A16="",N16&lt;&gt;"Ready"),'Products'!S16=0),"",MAX(0,I16)/'Products'!S16)</f>
      </c>
      <c r="M16" s="39" t="str">
        <f>IF(A16="","",IF(N16&lt;&gt;"Ready","Check inputs",IF(G16&lt;0,"Negative stock",IF(G16=0,"Out of stock",IF('Reorder'!V16="Stockout risk","Timing risk",IF('Reorder'!K16&gt;0,"Reorder","In stock"))))))</f>
      </c>
      <c r="N16" s="39" t="str">
        <f>IF(A16="","",IF(NOT(AND(ISNUMBER(Start!$F$5),Start!$F$5&gt;=1,Start!$F$5&lt;=73415,MOD(Start!$F$5,1)=0)),"Set as-of date",IF(NOT(AND(ISNUMBER(Start!$C$11),Start!$C$11&gt;=1,Start!$C$11&lt;=3650,MOD(Start!$C$11,1)=0)),"Set demand days",IF('Products'!P16&lt;&gt;"Ready","Check Products",IF(SUMPRODUCT(--('Transactions'!$K$7:$K$106=A16),--('Transactions'!$H$7:$H$106&lt;&gt;"Ready"))&gt;0,"Check Transactions",IF(SUMPRODUCT(--('PurchaseOrders'!$C$7:$C$16=A16),--('PurchaseOrders'!$N$7:$N$16&lt;&gt;"Ready"))+SUMPRODUCT(--('PurchaseOrders'!$C$7:$C$16=A16),'PurchaseOrders'!$O$7:$O$16)&gt;0,"Check PurchaseOrders","Ready"))))))</f>
      </c>
    </row>
  </sheetData>
  <sheetProtection sheet="1" objects="1" scenarios="1" autoFilter="0" sort="1" formatColumns="0" formatRows="0" selectLockedCells="0" selectUnlockedCells="0"/>
  <mergeCells>
    <mergeCell ref="A5:N5"/>
  </mergeCells>
  <conditionalFormatting sqref="A7:N16">
    <cfRule type="expression" dxfId="2" priority="1">
      <formula>AND($A7&lt;&gt;"",OR($N7&lt;&gt;"Ready",$G7&lt;0))</formula>
    </cfRule>
  </conditionalFormatting>
  <conditionalFormatting sqref="M7:M16">
    <cfRule type="containsText" dxfId="3" priority="2" operator="containsText" text="Reorder"/>
    <cfRule type="expression" dxfId="99" priority="12">
      <formula>$M7="Timing risk"</formula>
    </cfRule>
  </conditionalFormatting>
  <conditionalFormatting sqref="J7:K16">
    <cfRule type="expression" dxfId="30" priority="3">
      <formula>INDIRECT("Start!$C$7")="AUD"</formula>
    </cfRule>
    <cfRule type="expression" dxfId="31" priority="4">
      <formula>INDIRECT("Start!$C$7")="NZD"</formula>
    </cfRule>
    <cfRule type="expression" dxfId="32" priority="5">
      <formula>INDIRECT("Start!$C$7")="USD"</formula>
    </cfRule>
    <cfRule type="expression" dxfId="33" priority="6">
      <formula>INDIRECT("Start!$C$7")="GBP"</formula>
    </cfRule>
    <cfRule type="expression" dxfId="34" priority="7">
      <formula>INDIRECT("Start!$C$7")="CAD"</formula>
    </cfRule>
    <cfRule type="expression" dxfId="35" priority="8">
      <formula>INDIRECT("Start!$C$7")="CNY"</formula>
    </cfRule>
    <cfRule type="expression" dxfId="36" priority="9">
      <formula>INDIRECT("Start!$C$7")="SGD"</formula>
    </cfRule>
    <cfRule type="expression" dxfId="37" priority="10">
      <formula>INDIRECT("Start!$C$7")="EUR"</formula>
    </cfRule>
    <cfRule type="expression" dxfId="38" priority="11">
      <formula>INDIRECT("Start!$C$7")="JPY"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14fa94ddb4704fdd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6" topLeftCell="C7" activePane="bottomRight" state="frozen"/>
    </sheetView>
  </sheetViews>
  <sheetFormatPr defaultRowHeight="15"/>
  <cols>
    <col min="1" max="1" width="19" hidden="0" customWidth="1"/>
    <col min="2" max="2" width="33" hidden="0" customWidth="1"/>
    <col min="3" max="3" width="14" hidden="0" customWidth="1"/>
    <col min="4" max="4" width="14" hidden="0" customWidth="1"/>
    <col min="5" max="5" width="14" hidden="0" customWidth="1"/>
    <col min="6" max="6" width="16" hidden="0" customWidth="1"/>
    <col min="7" max="7" width="16" hidden="0" customWidth="1"/>
    <col min="8" max="8" width="17" hidden="0" customWidth="1"/>
    <col min="9" max="9" width="16" hidden="0" customWidth="1"/>
    <col min="10" max="10" width="14" hidden="0" customWidth="1"/>
    <col min="11" max="11" width="19" hidden="0" customWidth="1"/>
    <col min="12" max="12" width="19" hidden="0" customWidth="1"/>
    <col min="13" max="13" width="16" hidden="0" customWidth="1"/>
    <col min="14" max="14" width="22" hidden="0" customWidth="1"/>
    <col min="15" max="15" width="13" hidden="0" customWidth="1"/>
    <col min="16" max="16" width="22" hidden="0" customWidth="1"/>
    <col min="17" max="17" width="22" hidden="0" customWidth="1"/>
    <col min="18" max="18" width="22" hidden="0" customWidth="1"/>
    <col min="19" max="19" width="22" hidden="0" customWidth="1"/>
    <col min="20" max="20" width="22" hidden="0" customWidth="1"/>
    <col min="21" max="21" width="22" hidden="0" customWidth="1"/>
    <col min="22" max="22" width="22" hidden="0" customWidth="1"/>
  </cols>
  <sheetData>
    <row r="1" ht="28" customHeight="1">
      <c r="A1" s="52" t="str">
        <v>Home</v>
      </c>
      <c r="B1" s="2"/>
      <c r="C1" s="2"/>
      <c r="D1" s="52" t="str">
        <v>Inventory</v>
      </c>
      <c r="E1" s="2"/>
      <c r="F1" s="2"/>
      <c r="G1" s="52" t="str">
        <v>Receive</v>
      </c>
      <c r="H1" s="2"/>
      <c r="I1" s="2"/>
      <c r="J1" s="52" t="str">
        <v>Reorder</v>
      </c>
      <c r="K1" s="2"/>
      <c r="L1" s="2"/>
      <c r="M1" s="2"/>
      <c r="N1" s="2"/>
      <c r="O1" s="2"/>
    </row>
    <row r="2" ht="23" customHeight="1">
      <c r="A2" s="3" t="str">
        <v>Reorder plan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>
      <c r="A3" s="40" t="str">
        <v>Planning counts only open POs due between the as-of date and the target horizon. Overdue, undated and later receipts stay separate. Timing risk may require expediting even when order qty is zero.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ht="23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23" customHeight="1">
      <c r="A5" s="4" t="str">
        <f>"Region: "&amp;Start!$C$5&amp;"   Currency: "&amp;Start!$C$7&amp;"   Date: "&amp;Start!$F$7&amp;"   Display only; no currency conversion."</f>
        <v>Region: Australia   Currency: AUD   Date: dd/mm/yyyy   Display only; no currency conversion.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42" customHeight="1">
      <c r="A6" s="10" t="str">
        <v>SKU</v>
      </c>
      <c r="B6" s="10" t="str">
        <v>Product</v>
      </c>
      <c r="C6" s="10" t="str">
        <v>On hand</v>
      </c>
      <c r="D6" s="10" t="str">
        <v>In-time on order</v>
      </c>
      <c r="E6" s="10" t="str">
        <v>Backorders</v>
      </c>
      <c r="F6" s="10" t="str">
        <v>Stock position</v>
      </c>
      <c r="G6" s="10" t="str">
        <v>Daily usage</v>
      </c>
      <c r="H6" s="10" t="str">
        <v>Reorder point</v>
      </c>
      <c r="I6" s="10" t="str">
        <v>Target stock</v>
      </c>
      <c r="J6" s="10" t="str">
        <v>Order multiple</v>
      </c>
      <c r="K6" s="10" t="str">
        <v>Suggested order</v>
      </c>
      <c r="L6" s="10" t="str">
        <v>Est. cost</v>
      </c>
      <c r="M6" s="10" t="str">
        <v>Cover (days)</v>
      </c>
      <c r="N6" s="10" t="str">
        <v>Action</v>
      </c>
      <c r="O6" s="10" t="str">
        <v>Priority</v>
      </c>
      <c r="P6" s="57" t="str">
        <v>All on order</v>
      </c>
      <c r="Q6" s="57" t="str">
        <v>Overdue qty</v>
      </c>
      <c r="R6" s="57" t="str">
        <v>Later qty</v>
      </c>
      <c r="S6" s="57" t="str">
        <v>Undated qty</v>
      </c>
      <c r="T6" s="57" t="str">
        <v>Current cover ends</v>
      </c>
      <c r="U6" s="57" t="str">
        <v>Next due date</v>
      </c>
      <c r="V6" s="57" t="str">
        <v>Timing risk</v>
      </c>
    </row>
    <row r="7" ht="23" customHeight="1">
      <c r="A7" s="6" t="str">
        <f>IF(LEN('Products'!A7)=0,"",'Products'!A7)</f>
        <v>SKU000123</v>
      </c>
      <c r="B7" s="6" t="str">
        <f>IF(LEN(A7)=0,"",'Products'!B7)</f>
        <v>Synthetic spare part</v>
      </c>
      <c r="C7" s="18" t="n">
        <f>IF(OR(LEN($A7)=0,'Inventory'!N7&lt;&gt;"Ready"),"",'Inventory'!G7)</f>
        <v>13</v>
      </c>
      <c r="D7" s="18" t="n">
        <f>IF(OR(A7="",'Inventory'!N7&lt;&gt;"Ready"),"",SUMPRODUCT(--('PurchaseOrders'!$C$7:$C$16=A7),--('PurchaseOrders'!$N$7:$N$16="Ready"),--('PurchaseOrders'!$F$7:$F$16&gt;=Start!$F$5),--('PurchaseOrders'!$F$7:$F$16&lt;=Start!$F$5+'Products'!H7+'Products'!I7+'Products'!J7),'PurchaseOrders'!$K$7:$K$16))</f>
        <v>990</v>
      </c>
      <c r="E7" s="18" t="n">
        <f>IF(OR(LEN($A7)=0,'Inventory'!N7&lt;&gt;"Ready"),"",'Products'!M7)</f>
        <v>0</v>
      </c>
      <c r="F7" s="18" t="n">
        <f>IF(OR(LEN($A7)=0,'Inventory'!N7&lt;&gt;"Ready"),"",C7+D7-E7)</f>
        <v>1003</v>
      </c>
      <c r="G7" s="21" t="n">
        <f>IF(OR(A7="",'Inventory'!N7&lt;&gt;"Ready"),"",'Products'!S7)</f>
        <v>10</v>
      </c>
      <c r="H7" s="18" t="n">
        <f>IF(OR(LEN($A7)=0,'Inventory'!N7&lt;&gt;"Ready"),"",ROUNDUP(G7*('Products'!H7+'Products'!I7),0))</f>
        <v>140</v>
      </c>
      <c r="I7" s="18" t="n">
        <f>IF(OR(LEN($A7)=0,'Inventory'!N7&lt;&gt;"Ready"),"",ROUNDUP(G7*('Products'!H7+'Products'!I7+'Products'!J7),0))</f>
        <v>210</v>
      </c>
      <c r="J7" s="18" t="n">
        <f>IF(OR(LEN($A7)=0,'Inventory'!N7&lt;&gt;"Ready"),"",'Products'!K7)</f>
        <v>10</v>
      </c>
      <c r="K7" s="18" t="n">
        <f>IF(OR(LEN($A7)=0,'Inventory'!N7&lt;&gt;"Ready"),"",IF(AND(G7&gt;0,F7&lt;=H7),IF(I7-F7&gt;0,ROUNDUP(MAX(I7-F7,'Products'!Q7)/J7,0)*J7,0),0))</f>
        <v>0</v>
      </c>
      <c r="L7" s="36" t="n">
        <f>IF(OR(LEN($A7)=0,'Inventory'!N7&lt;&gt;"Ready"),"",K7*'Products'!F7)</f>
        <v>0</v>
      </c>
      <c r="M7" s="20" t="n">
        <f>IF(OR(OR(LEN($A7)=0,'Inventory'!N7&lt;&gt;"Ready"),G7=0),"",MAX(0,C7-E7)/G7)</f>
        <v>1.3</v>
      </c>
      <c r="N7" s="39" t="str">
        <f>IF(A7="","",IF('Inventory'!N7&lt;&gt;"Ready","Check inputs",IF(G7=0,"No demand set",IF(V7="Stockout risk","Expedite / stockout risk",IF(OR(Q7&gt;0,S7&gt;0),"Confirm incoming dates",IF(K7&gt;0,"Order suggested","No order"))))))</f>
        <v>Expedite / stockout risk</v>
      </c>
      <c r="O7" s="6" t="str">
        <f>IF(OR(OR(LEN($A7)=0,'Inventory'!N7&lt;&gt;"Ready"),K7&lt;=0),"",COUNTIFS($K$7:$K$16,"&gt;0",$M$7:$M$16,"&lt;"&amp;M7)+COUNTIFS($K$7:K7,"&gt;0",$M$7:M7,M7))</f>
      </c>
      <c r="P7" t="n">
        <f>IF(OR(A7="",'Inventory'!N7&lt;&gt;"Ready"),"",'Products'!L7+SUMPRODUCT(--('PurchaseOrders'!$C$7:$C$16=A7),--('PurchaseOrders'!$N$7:$N$16="Ready"),'PurchaseOrders'!$K$7:$K$16))</f>
        <v>990</v>
      </c>
      <c r="Q7" t="n">
        <f>IF(OR(A7="",'Inventory'!N7&lt;&gt;"Ready"),"",SUMPRODUCT(--('PurchaseOrders'!$C$7:$C$16=A7),--('PurchaseOrders'!$N$7:$N$16="Ready"),--('PurchaseOrders'!$F$7:$F$16&lt;Start!$F$5),'PurchaseOrders'!$K$7:$K$16))</f>
        <v>0</v>
      </c>
      <c r="R7" t="n">
        <f>IF(OR(A7="",'Inventory'!N7&lt;&gt;"Ready"),"",SUMPRODUCT(--('PurchaseOrders'!$C$7:$C$16=A7),--('PurchaseOrders'!$N$7:$N$16="Ready"),--('PurchaseOrders'!$F$7:$F$16&gt;Start!$F$5+'Products'!H7+'Products'!I7+'Products'!J7),'PurchaseOrders'!$K$7:$K$16))</f>
        <v>0</v>
      </c>
      <c r="S7" t="n">
        <f>IF(OR(A7="",'Inventory'!N7&lt;&gt;"Ready"),"",'Products'!L7)</f>
        <v>0</v>
      </c>
      <c r="T7" s="58" t="n">
        <f>IF(OR(OR(A7="",'Inventory'!N7&lt;&gt;"Ready"),G7&lt;=0),"",Start!$F$5+INT(MAX(0,C7-E7)/G7))</f>
        <v>46314</v>
      </c>
      <c r="U7" s="58" t="n">
        <f>IF(OR(OR(A7="",'Inventory'!N7&lt;&gt;"Ready"),SUMPRODUCT(--('PurchaseOrders'!$C$7:$C$16=A7),--('PurchaseOrders'!$K$7:$K$16&gt;0),--('PurchaseOrders'!$N$7:$N$16="Ready"),--('PurchaseOrders'!$F$7:$F$16&gt;=Start!$F$5))=0),"",_xlfn.MINIFS('PurchaseOrders'!$F$7:$F$16,'PurchaseOrders'!$P$7:$P$16,1,'PurchaseOrders'!$K$7:$K$16,"&gt;0",'PurchaseOrders'!$N$7:$N$16,"Ready",'PurchaseOrders'!$F$7:$F$16,"&gt;="&amp;Start!$F$5))</f>
        <v>46316</v>
      </c>
      <c r="V7" t="str">
        <f>IF(OR(OR(A7="",'Inventory'!N7&lt;&gt;"Ready"),G7&lt;=0),"",IF(OR(AND(T7&lt;Start!$F$5+'Products'!H7,OR(U7="",U7&gt;T7)),SUMPRODUCT(--('Receiving'!$C$7:$C$16=A7),--('Receiving'!$E$7:$E$16&gt;=Start!$F$5),--('Receiving'!$E$7:$E$16&lt;=Start!$F$5+'Products'!H7+'Products'!I7+'Products'!J7),--('Receiving'!$H$7:$H$16&lt;0))&gt;0),"Stockout risk",""))</f>
        <v>Stockout risk</v>
      </c>
    </row>
    <row r="8" ht="23" customHeight="1">
      <c r="A8" s="6" t="str">
        <f>IF(LEN('Products'!A8)=0,"",'Products'!A8)</f>
        <v>WILD*?~</v>
      </c>
      <c r="B8" s="6" t="str">
        <f>IF(LEN(A8)=0,"",'Products'!B8)</f>
        <v>Synthetic fastener</v>
      </c>
      <c r="C8" s="18" t="n">
        <f>IF(OR(LEN($A8)=0,'Inventory'!N8&lt;&gt;"Ready"),"",'Inventory'!G8)</f>
        <v>110</v>
      </c>
      <c r="D8" s="18" t="n">
        <f>IF(OR(A8="",'Inventory'!N8&lt;&gt;"Ready"),"",SUMPRODUCT(--('PurchaseOrders'!$C$7:$C$16=A8),--('PurchaseOrders'!$N$7:$N$16="Ready"),--('PurchaseOrders'!$F$7:$F$16&gt;=Start!$F$5),--('PurchaseOrders'!$F$7:$F$16&lt;=Start!$F$5+'Products'!H8+'Products'!I8+'Products'!J8),'PurchaseOrders'!$K$7:$K$16))</f>
        <v>0</v>
      </c>
      <c r="E8" s="18" t="n">
        <f>IF(OR(LEN($A8)=0,'Inventory'!N8&lt;&gt;"Ready"),"",'Products'!M8)</f>
        <v>0</v>
      </c>
      <c r="F8" s="18" t="n">
        <f>IF(OR(LEN($A8)=0,'Inventory'!N8&lt;&gt;"Ready"),"",C8+D8-E8)</f>
        <v>110</v>
      </c>
      <c r="G8" s="21" t="n">
        <f>IF(OR(A8="",'Inventory'!N8&lt;&gt;"Ready"),"",'Products'!S8)</f>
        <v>1</v>
      </c>
      <c r="H8" s="18" t="n">
        <f>IF(OR(LEN($A8)=0,'Inventory'!N8&lt;&gt;"Ready"),"",ROUNDUP(G8*('Products'!H8+'Products'!I8),0))</f>
        <v>14</v>
      </c>
      <c r="I8" s="18" t="n">
        <f>IF(OR(LEN($A8)=0,'Inventory'!N8&lt;&gt;"Ready"),"",ROUNDUP(G8*('Products'!H8+'Products'!I8+'Products'!J8),0))</f>
        <v>21</v>
      </c>
      <c r="J8" s="18" t="n">
        <f>IF(OR(LEN($A8)=0,'Inventory'!N8&lt;&gt;"Ready"),"",'Products'!K8)</f>
        <v>1</v>
      </c>
      <c r="K8" s="18" t="n">
        <f>IF(OR(LEN($A8)=0,'Inventory'!N8&lt;&gt;"Ready"),"",IF(AND(G8&gt;0,F8&lt;=H8),IF(I8-F8&gt;0,ROUNDUP(MAX(I8-F8,'Products'!Q8)/J8,0)*J8,0),0))</f>
        <v>0</v>
      </c>
      <c r="L8" s="36" t="n">
        <f>IF(OR(LEN($A8)=0,'Inventory'!N8&lt;&gt;"Ready"),"",K8*'Products'!F8)</f>
        <v>0</v>
      </c>
      <c r="M8" s="20" t="n">
        <f>IF(OR(OR(LEN($A8)=0,'Inventory'!N8&lt;&gt;"Ready"),G8=0),"",MAX(0,C8-E8)/G8)</f>
        <v>110</v>
      </c>
      <c r="N8" s="39" t="str">
        <f>IF(A8="","",IF('Inventory'!N8&lt;&gt;"Ready","Check inputs",IF(G8=0,"No demand set",IF(V8="Stockout risk","Expedite / stockout risk",IF(OR(Q8&gt;0,S8&gt;0),"Confirm incoming dates",IF(K8&gt;0,"Order suggested","No order"))))))</f>
        <v>No order</v>
      </c>
      <c r="O8" s="6" t="str">
        <f>IF(OR(OR(LEN($A8)=0,'Inventory'!N8&lt;&gt;"Ready"),K8&lt;=0),"",COUNTIFS($K$7:$K$16,"&gt;0",$M$7:$M$16,"&lt;"&amp;M8)+COUNTIFS($K$7:K8,"&gt;0",$M$7:M8,M8))</f>
      </c>
      <c r="P8" t="n">
        <f>IF(OR(A8="",'Inventory'!N8&lt;&gt;"Ready"),"",'Products'!L8+SUMPRODUCT(--('PurchaseOrders'!$C$7:$C$16=A8),--('PurchaseOrders'!$N$7:$N$16="Ready"),'PurchaseOrders'!$K$7:$K$16))</f>
        <v>0</v>
      </c>
      <c r="Q8" t="n">
        <f>IF(OR(A8="",'Inventory'!N8&lt;&gt;"Ready"),"",SUMPRODUCT(--('PurchaseOrders'!$C$7:$C$16=A8),--('PurchaseOrders'!$N$7:$N$16="Ready"),--('PurchaseOrders'!$F$7:$F$16&lt;Start!$F$5),'PurchaseOrders'!$K$7:$K$16))</f>
        <v>0</v>
      </c>
      <c r="R8" t="n">
        <f>IF(OR(A8="",'Inventory'!N8&lt;&gt;"Ready"),"",SUMPRODUCT(--('PurchaseOrders'!$C$7:$C$16=A8),--('PurchaseOrders'!$N$7:$N$16="Ready"),--('PurchaseOrders'!$F$7:$F$16&gt;Start!$F$5+'Products'!H8+'Products'!I8+'Products'!J8),'PurchaseOrders'!$K$7:$K$16))</f>
        <v>0</v>
      </c>
      <c r="S8" t="n">
        <f>IF(OR(A8="",'Inventory'!N8&lt;&gt;"Ready"),"",'Products'!L8)</f>
        <v>0</v>
      </c>
      <c r="T8" s="58" t="n">
        <f>IF(OR(OR(A8="",'Inventory'!N8&lt;&gt;"Ready"),G8&lt;=0),"",Start!$F$5+INT(MAX(0,C8-E8)/G8))</f>
        <v>46423</v>
      </c>
      <c r="U8" s="58" t="str">
        <f>IF(OR(OR(A8="",'Inventory'!N8&lt;&gt;"Ready"),SUMPRODUCT(--('PurchaseOrders'!$C$7:$C$16=A8),--('PurchaseOrders'!$K$7:$K$16&gt;0),--('PurchaseOrders'!$N$7:$N$16="Ready"),--('PurchaseOrders'!$F$7:$F$16&gt;=Start!$F$5))=0),"",_xlfn.MINIFS('PurchaseOrders'!$F$7:$F$16,'PurchaseOrders'!$P$7:$P$16,2,'PurchaseOrders'!$K$7:$K$16,"&gt;0",'PurchaseOrders'!$N$7:$N$16,"Ready",'PurchaseOrders'!$F$7:$F$16,"&gt;="&amp;Start!$F$5))</f>
      </c>
      <c r="V8" t="str">
        <f>IF(OR(OR(A8="",'Inventory'!N8&lt;&gt;"Ready"),G8&lt;=0),"",IF(OR(AND(T8&lt;Start!$F$5+'Products'!H8,OR(U8="",U8&gt;T8)),SUMPRODUCT(--('Receiving'!$C$7:$C$16=A8),--('Receiving'!$E$7:$E$16&gt;=Start!$F$5),--('Receiving'!$E$7:$E$16&lt;=Start!$F$5+'Products'!H8+'Products'!I8+'Products'!J8),--('Receiving'!$H$7:$H$16&lt;0))&gt;0),"Stockout risk",""))</f>
      </c>
    </row>
    <row r="9" ht="23" customHeight="1">
      <c r="A9" s="6" t="str">
        <f>IF(LEN('Products'!A9)=0,"",'Products'!A9)</f>
      </c>
      <c r="B9" s="6" t="str">
        <f>IF(LEN(A9)=0,"",'Products'!B9)</f>
      </c>
      <c r="C9" s="18" t="str">
        <f>IF(OR(LEN($A9)=0,'Inventory'!N9&lt;&gt;"Ready"),"",'Inventory'!G9)</f>
      </c>
      <c r="D9" s="18" t="str">
        <f>IF(OR(A9="",'Inventory'!N9&lt;&gt;"Ready"),"",SUMPRODUCT(--('PurchaseOrders'!$C$7:$C$16=A9),--('PurchaseOrders'!$N$7:$N$16="Ready"),--('PurchaseOrders'!$F$7:$F$16&gt;=Start!$F$5),--('PurchaseOrders'!$F$7:$F$16&lt;=Start!$F$5+'Products'!H9+'Products'!I9+'Products'!J9),'PurchaseOrders'!$K$7:$K$16))</f>
      </c>
      <c r="E9" s="18" t="str">
        <f>IF(OR(LEN($A9)=0,'Inventory'!N9&lt;&gt;"Ready"),"",'Products'!M9)</f>
      </c>
      <c r="F9" s="18" t="str">
        <f>IF(OR(LEN($A9)=0,'Inventory'!N9&lt;&gt;"Ready"),"",C9+D9-E9)</f>
      </c>
      <c r="G9" s="21" t="str">
        <f>IF(OR(A9="",'Inventory'!N9&lt;&gt;"Ready"),"",'Products'!S9)</f>
      </c>
      <c r="H9" s="18" t="str">
        <f>IF(OR(LEN($A9)=0,'Inventory'!N9&lt;&gt;"Ready"),"",ROUNDUP(G9*('Products'!H9+'Products'!I9),0))</f>
      </c>
      <c r="I9" s="18" t="str">
        <f>IF(OR(LEN($A9)=0,'Inventory'!N9&lt;&gt;"Ready"),"",ROUNDUP(G9*('Products'!H9+'Products'!I9+'Products'!J9),0))</f>
      </c>
      <c r="J9" s="18" t="str">
        <f>IF(OR(LEN($A9)=0,'Inventory'!N9&lt;&gt;"Ready"),"",'Products'!K9)</f>
      </c>
      <c r="K9" s="18" t="str">
        <f>IF(OR(LEN($A9)=0,'Inventory'!N9&lt;&gt;"Ready"),"",IF(AND(G9&gt;0,F9&lt;=H9),IF(I9-F9&gt;0,ROUNDUP(MAX(I9-F9,'Products'!Q9)/J9,0)*J9,0),0))</f>
      </c>
      <c r="L9" s="36" t="str">
        <f>IF(OR(LEN($A9)=0,'Inventory'!N9&lt;&gt;"Ready"),"",K9*'Products'!F9)</f>
      </c>
      <c r="M9" s="20" t="str">
        <f>IF(OR(OR(LEN($A9)=0,'Inventory'!N9&lt;&gt;"Ready"),G9=0),"",MAX(0,C9-E9)/G9)</f>
      </c>
      <c r="N9" s="39" t="str">
        <f>IF(A9="","",IF('Inventory'!N9&lt;&gt;"Ready","Check inputs",IF(G9=0,"No demand set",IF(V9="Stockout risk","Expedite / stockout risk",IF(OR(Q9&gt;0,S9&gt;0),"Confirm incoming dates",IF(K9&gt;0,"Order suggested","No order"))))))</f>
      </c>
      <c r="O9" s="6" t="str">
        <f>IF(OR(OR(LEN($A9)=0,'Inventory'!N9&lt;&gt;"Ready"),K9&lt;=0),"",COUNTIFS($K$7:$K$16,"&gt;0",$M$7:$M$16,"&lt;"&amp;M9)+COUNTIFS($K$7:K9,"&gt;0",$M$7:M9,M9))</f>
      </c>
      <c r="P9" t="str">
        <f>IF(OR(A9="",'Inventory'!N9&lt;&gt;"Ready"),"",'Products'!L9+SUMPRODUCT(--('PurchaseOrders'!$C$7:$C$16=A9),--('PurchaseOrders'!$N$7:$N$16="Ready"),'PurchaseOrders'!$K$7:$K$16))</f>
      </c>
      <c r="Q9" t="str">
        <f>IF(OR(A9="",'Inventory'!N9&lt;&gt;"Ready"),"",SUMPRODUCT(--('PurchaseOrders'!$C$7:$C$16=A9),--('PurchaseOrders'!$N$7:$N$16="Ready"),--('PurchaseOrders'!$F$7:$F$16&lt;Start!$F$5),'PurchaseOrders'!$K$7:$K$16))</f>
      </c>
      <c r="R9" t="str">
        <f>IF(OR(A9="",'Inventory'!N9&lt;&gt;"Ready"),"",SUMPRODUCT(--('PurchaseOrders'!$C$7:$C$16=A9),--('PurchaseOrders'!$N$7:$N$16="Ready"),--('PurchaseOrders'!$F$7:$F$16&gt;Start!$F$5+'Products'!H9+'Products'!I9+'Products'!J9),'PurchaseOrders'!$K$7:$K$16))</f>
      </c>
      <c r="S9" t="str">
        <f>IF(OR(A9="",'Inventory'!N9&lt;&gt;"Ready"),"",'Products'!L9)</f>
      </c>
      <c r="T9" s="58" t="str">
        <f>IF(OR(OR(A9="",'Inventory'!N9&lt;&gt;"Ready"),G9&lt;=0),"",Start!$F$5+INT(MAX(0,C9-E9)/G9))</f>
      </c>
      <c r="U9" s="58" t="str">
        <f>IF(OR(OR(A9="",'Inventory'!N9&lt;&gt;"Ready"),SUMPRODUCT(--('PurchaseOrders'!$C$7:$C$16=A9),--('PurchaseOrders'!$K$7:$K$16&gt;0),--('PurchaseOrders'!$N$7:$N$16="Ready"),--('PurchaseOrders'!$F$7:$F$16&gt;=Start!$F$5))=0),"",_xlfn.MINIFS('PurchaseOrders'!$F$7:$F$16,'PurchaseOrders'!$P$7:$P$16,3,'PurchaseOrders'!$K$7:$K$16,"&gt;0",'PurchaseOrders'!$N$7:$N$16,"Ready",'PurchaseOrders'!$F$7:$F$16,"&gt;="&amp;Start!$F$5))</f>
      </c>
      <c r="V9" t="str">
        <f>IF(OR(OR(A9="",'Inventory'!N9&lt;&gt;"Ready"),G9&lt;=0),"",IF(OR(AND(T9&lt;Start!$F$5+'Products'!H9,OR(U9="",U9&gt;T9)),SUMPRODUCT(--('Receiving'!$C$7:$C$16=A9),--('Receiving'!$E$7:$E$16&gt;=Start!$F$5),--('Receiving'!$E$7:$E$16&lt;=Start!$F$5+'Products'!H9+'Products'!I9+'Products'!J9),--('Receiving'!$H$7:$H$16&lt;0))&gt;0),"Stockout risk",""))</f>
      </c>
    </row>
    <row r="10" ht="23" customHeight="1">
      <c r="A10" s="6" t="str">
        <f>IF(LEN('Products'!A10)=0,"",'Products'!A10)</f>
      </c>
      <c r="B10" s="6" t="str">
        <f>IF(LEN(A10)=0,"",'Products'!B10)</f>
      </c>
      <c r="C10" s="18" t="str">
        <f>IF(OR(LEN($A10)=0,'Inventory'!N10&lt;&gt;"Ready"),"",'Inventory'!G10)</f>
      </c>
      <c r="D10" s="18" t="str">
        <f>IF(OR(A10="",'Inventory'!N10&lt;&gt;"Ready"),"",SUMPRODUCT(--('PurchaseOrders'!$C$7:$C$16=A10),--('PurchaseOrders'!$N$7:$N$16="Ready"),--('PurchaseOrders'!$F$7:$F$16&gt;=Start!$F$5),--('PurchaseOrders'!$F$7:$F$16&lt;=Start!$F$5+'Products'!H10+'Products'!I10+'Products'!J10),'PurchaseOrders'!$K$7:$K$16))</f>
      </c>
      <c r="E10" s="18" t="str">
        <f>IF(OR(LEN($A10)=0,'Inventory'!N10&lt;&gt;"Ready"),"",'Products'!M10)</f>
      </c>
      <c r="F10" s="18" t="str">
        <f>IF(OR(LEN($A10)=0,'Inventory'!N10&lt;&gt;"Ready"),"",C10+D10-E10)</f>
      </c>
      <c r="G10" s="21" t="str">
        <f>IF(OR(A10="",'Inventory'!N10&lt;&gt;"Ready"),"",'Products'!S10)</f>
      </c>
      <c r="H10" s="18" t="str">
        <f>IF(OR(LEN($A10)=0,'Inventory'!N10&lt;&gt;"Ready"),"",ROUNDUP(G10*('Products'!H10+'Products'!I10),0))</f>
      </c>
      <c r="I10" s="18" t="str">
        <f>IF(OR(LEN($A10)=0,'Inventory'!N10&lt;&gt;"Ready"),"",ROUNDUP(G10*('Products'!H10+'Products'!I10+'Products'!J10),0))</f>
      </c>
      <c r="J10" s="18" t="str">
        <f>IF(OR(LEN($A10)=0,'Inventory'!N10&lt;&gt;"Ready"),"",'Products'!K10)</f>
      </c>
      <c r="K10" s="18" t="str">
        <f>IF(OR(LEN($A10)=0,'Inventory'!N10&lt;&gt;"Ready"),"",IF(AND(G10&gt;0,F10&lt;=H10),IF(I10-F10&gt;0,ROUNDUP(MAX(I10-F10,'Products'!Q10)/J10,0)*J10,0),0))</f>
      </c>
      <c r="L10" s="36" t="str">
        <f>IF(OR(LEN($A10)=0,'Inventory'!N10&lt;&gt;"Ready"),"",K10*'Products'!F10)</f>
      </c>
      <c r="M10" s="20" t="str">
        <f>IF(OR(OR(LEN($A10)=0,'Inventory'!N10&lt;&gt;"Ready"),G10=0),"",MAX(0,C10-E10)/G10)</f>
      </c>
      <c r="N10" s="39" t="str">
        <f>IF(A10="","",IF('Inventory'!N10&lt;&gt;"Ready","Check inputs",IF(G10=0,"No demand set",IF(V10="Stockout risk","Expedite / stockout risk",IF(OR(Q10&gt;0,S10&gt;0),"Confirm incoming dates",IF(K10&gt;0,"Order suggested","No order"))))))</f>
      </c>
      <c r="O10" s="6" t="str">
        <f>IF(OR(OR(LEN($A10)=0,'Inventory'!N10&lt;&gt;"Ready"),K10&lt;=0),"",COUNTIFS($K$7:$K$16,"&gt;0",$M$7:$M$16,"&lt;"&amp;M10)+COUNTIFS($K$7:K10,"&gt;0",$M$7:M10,M10))</f>
      </c>
      <c r="P10" t="str">
        <f>IF(OR(A10="",'Inventory'!N10&lt;&gt;"Ready"),"",'Products'!L10+SUMPRODUCT(--('PurchaseOrders'!$C$7:$C$16=A10),--('PurchaseOrders'!$N$7:$N$16="Ready"),'PurchaseOrders'!$K$7:$K$16))</f>
      </c>
      <c r="Q10" t="str">
        <f>IF(OR(A10="",'Inventory'!N10&lt;&gt;"Ready"),"",SUMPRODUCT(--('PurchaseOrders'!$C$7:$C$16=A10),--('PurchaseOrders'!$N$7:$N$16="Ready"),--('PurchaseOrders'!$F$7:$F$16&lt;Start!$F$5),'PurchaseOrders'!$K$7:$K$16))</f>
      </c>
      <c r="R10" t="str">
        <f>IF(OR(A10="",'Inventory'!N10&lt;&gt;"Ready"),"",SUMPRODUCT(--('PurchaseOrders'!$C$7:$C$16=A10),--('PurchaseOrders'!$N$7:$N$16="Ready"),--('PurchaseOrders'!$F$7:$F$16&gt;Start!$F$5+'Products'!H10+'Products'!I10+'Products'!J10),'PurchaseOrders'!$K$7:$K$16))</f>
      </c>
      <c r="S10" t="str">
        <f>IF(OR(A10="",'Inventory'!N10&lt;&gt;"Ready"),"",'Products'!L10)</f>
      </c>
      <c r="T10" s="58" t="str">
        <f>IF(OR(OR(A10="",'Inventory'!N10&lt;&gt;"Ready"),G10&lt;=0),"",Start!$F$5+INT(MAX(0,C10-E10)/G10))</f>
      </c>
      <c r="U10" s="58" t="str">
        <f>IF(OR(OR(A10="",'Inventory'!N10&lt;&gt;"Ready"),SUMPRODUCT(--('PurchaseOrders'!$C$7:$C$16=A10),--('PurchaseOrders'!$K$7:$K$16&gt;0),--('PurchaseOrders'!$N$7:$N$16="Ready"),--('PurchaseOrders'!$F$7:$F$16&gt;=Start!$F$5))=0),"",_xlfn.MINIFS('PurchaseOrders'!$F$7:$F$16,'PurchaseOrders'!$P$7:$P$16,4,'PurchaseOrders'!$K$7:$K$16,"&gt;0",'PurchaseOrders'!$N$7:$N$16,"Ready",'PurchaseOrders'!$F$7:$F$16,"&gt;="&amp;Start!$F$5))</f>
      </c>
      <c r="V10" t="str">
        <f>IF(OR(OR(A10="",'Inventory'!N10&lt;&gt;"Ready"),G10&lt;=0),"",IF(OR(AND(T10&lt;Start!$F$5+'Products'!H10,OR(U10="",U10&gt;T10)),SUMPRODUCT(--('Receiving'!$C$7:$C$16=A10),--('Receiving'!$E$7:$E$16&gt;=Start!$F$5),--('Receiving'!$E$7:$E$16&lt;=Start!$F$5+'Products'!H10+'Products'!I10+'Products'!J10),--('Receiving'!$H$7:$H$16&lt;0))&gt;0),"Stockout risk",""))</f>
      </c>
    </row>
    <row r="11" ht="23" customHeight="1">
      <c r="A11" s="6" t="str">
        <f>IF(LEN('Products'!A11)=0,"",'Products'!A11)</f>
      </c>
      <c r="B11" s="6" t="str">
        <f>IF(LEN(A11)=0,"",'Products'!B11)</f>
      </c>
      <c r="C11" s="18" t="str">
        <f>IF(OR(LEN($A11)=0,'Inventory'!N11&lt;&gt;"Ready"),"",'Inventory'!G11)</f>
      </c>
      <c r="D11" s="18" t="str">
        <f>IF(OR(A11="",'Inventory'!N11&lt;&gt;"Ready"),"",SUMPRODUCT(--('PurchaseOrders'!$C$7:$C$16=A11),--('PurchaseOrders'!$N$7:$N$16="Ready"),--('PurchaseOrders'!$F$7:$F$16&gt;=Start!$F$5),--('PurchaseOrders'!$F$7:$F$16&lt;=Start!$F$5+'Products'!H11+'Products'!I11+'Products'!J11),'PurchaseOrders'!$K$7:$K$16))</f>
      </c>
      <c r="E11" s="18" t="str">
        <f>IF(OR(LEN($A11)=0,'Inventory'!N11&lt;&gt;"Ready"),"",'Products'!M11)</f>
      </c>
      <c r="F11" s="18" t="str">
        <f>IF(OR(LEN($A11)=0,'Inventory'!N11&lt;&gt;"Ready"),"",C11+D11-E11)</f>
      </c>
      <c r="G11" s="21" t="str">
        <f>IF(OR(A11="",'Inventory'!N11&lt;&gt;"Ready"),"",'Products'!S11)</f>
      </c>
      <c r="H11" s="18" t="str">
        <f>IF(OR(LEN($A11)=0,'Inventory'!N11&lt;&gt;"Ready"),"",ROUNDUP(G11*('Products'!H11+'Products'!I11),0))</f>
      </c>
      <c r="I11" s="18" t="str">
        <f>IF(OR(LEN($A11)=0,'Inventory'!N11&lt;&gt;"Ready"),"",ROUNDUP(G11*('Products'!H11+'Products'!I11+'Products'!J11),0))</f>
      </c>
      <c r="J11" s="18" t="str">
        <f>IF(OR(LEN($A11)=0,'Inventory'!N11&lt;&gt;"Ready"),"",'Products'!K11)</f>
      </c>
      <c r="K11" s="18" t="str">
        <f>IF(OR(LEN($A11)=0,'Inventory'!N11&lt;&gt;"Ready"),"",IF(AND(G11&gt;0,F11&lt;=H11),IF(I11-F11&gt;0,ROUNDUP(MAX(I11-F11,'Products'!Q11)/J11,0)*J11,0),0))</f>
      </c>
      <c r="L11" s="36" t="str">
        <f>IF(OR(LEN($A11)=0,'Inventory'!N11&lt;&gt;"Ready"),"",K11*'Products'!F11)</f>
      </c>
      <c r="M11" s="20" t="str">
        <f>IF(OR(OR(LEN($A11)=0,'Inventory'!N11&lt;&gt;"Ready"),G11=0),"",MAX(0,C11-E11)/G11)</f>
      </c>
      <c r="N11" s="39" t="str">
        <f>IF(A11="","",IF('Inventory'!N11&lt;&gt;"Ready","Check inputs",IF(G11=0,"No demand set",IF(V11="Stockout risk","Expedite / stockout risk",IF(OR(Q11&gt;0,S11&gt;0),"Confirm incoming dates",IF(K11&gt;0,"Order suggested","No order"))))))</f>
      </c>
      <c r="O11" s="6" t="str">
        <f>IF(OR(OR(LEN($A11)=0,'Inventory'!N11&lt;&gt;"Ready"),K11&lt;=0),"",COUNTIFS($K$7:$K$16,"&gt;0",$M$7:$M$16,"&lt;"&amp;M11)+COUNTIFS($K$7:K11,"&gt;0",$M$7:M11,M11))</f>
      </c>
      <c r="P11" t="str">
        <f>IF(OR(A11="",'Inventory'!N11&lt;&gt;"Ready"),"",'Products'!L11+SUMPRODUCT(--('PurchaseOrders'!$C$7:$C$16=A11),--('PurchaseOrders'!$N$7:$N$16="Ready"),'PurchaseOrders'!$K$7:$K$16))</f>
      </c>
      <c r="Q11" t="str">
        <f>IF(OR(A11="",'Inventory'!N11&lt;&gt;"Ready"),"",SUMPRODUCT(--('PurchaseOrders'!$C$7:$C$16=A11),--('PurchaseOrders'!$N$7:$N$16="Ready"),--('PurchaseOrders'!$F$7:$F$16&lt;Start!$F$5),'PurchaseOrders'!$K$7:$K$16))</f>
      </c>
      <c r="R11" t="str">
        <f>IF(OR(A11="",'Inventory'!N11&lt;&gt;"Ready"),"",SUMPRODUCT(--('PurchaseOrders'!$C$7:$C$16=A11),--('PurchaseOrders'!$N$7:$N$16="Ready"),--('PurchaseOrders'!$F$7:$F$16&gt;Start!$F$5+'Products'!H11+'Products'!I11+'Products'!J11),'PurchaseOrders'!$K$7:$K$16))</f>
      </c>
      <c r="S11" t="str">
        <f>IF(OR(A11="",'Inventory'!N11&lt;&gt;"Ready"),"",'Products'!L11)</f>
      </c>
      <c r="T11" s="58" t="str">
        <f>IF(OR(OR(A11="",'Inventory'!N11&lt;&gt;"Ready"),G11&lt;=0),"",Start!$F$5+INT(MAX(0,C11-E11)/G11))</f>
      </c>
      <c r="U11" s="58" t="str">
        <f>IF(OR(OR(A11="",'Inventory'!N11&lt;&gt;"Ready"),SUMPRODUCT(--('PurchaseOrders'!$C$7:$C$16=A11),--('PurchaseOrders'!$K$7:$K$16&gt;0),--('PurchaseOrders'!$N$7:$N$16="Ready"),--('PurchaseOrders'!$F$7:$F$16&gt;=Start!$F$5))=0),"",_xlfn.MINIFS('PurchaseOrders'!$F$7:$F$16,'PurchaseOrders'!$P$7:$P$16,5,'PurchaseOrders'!$K$7:$K$16,"&gt;0",'PurchaseOrders'!$N$7:$N$16,"Ready",'PurchaseOrders'!$F$7:$F$16,"&gt;="&amp;Start!$F$5))</f>
      </c>
      <c r="V11" t="str">
        <f>IF(OR(OR(A11="",'Inventory'!N11&lt;&gt;"Ready"),G11&lt;=0),"",IF(OR(AND(T11&lt;Start!$F$5+'Products'!H11,OR(U11="",U11&gt;T11)),SUMPRODUCT(--('Receiving'!$C$7:$C$16=A11),--('Receiving'!$E$7:$E$16&gt;=Start!$F$5),--('Receiving'!$E$7:$E$16&lt;=Start!$F$5+'Products'!H11+'Products'!I11+'Products'!J11),--('Receiving'!$H$7:$H$16&lt;0))&gt;0),"Stockout risk",""))</f>
      </c>
    </row>
    <row r="12" ht="23" customHeight="1">
      <c r="A12" s="6" t="str">
        <f>IF(LEN('Products'!A12)=0,"",'Products'!A12)</f>
      </c>
      <c r="B12" s="6" t="str">
        <f>IF(LEN(A12)=0,"",'Products'!B12)</f>
      </c>
      <c r="C12" s="18" t="str">
        <f>IF(OR(LEN($A12)=0,'Inventory'!N12&lt;&gt;"Ready"),"",'Inventory'!G12)</f>
      </c>
      <c r="D12" s="18" t="str">
        <f>IF(OR(A12="",'Inventory'!N12&lt;&gt;"Ready"),"",SUMPRODUCT(--('PurchaseOrders'!$C$7:$C$16=A12),--('PurchaseOrders'!$N$7:$N$16="Ready"),--('PurchaseOrders'!$F$7:$F$16&gt;=Start!$F$5),--('PurchaseOrders'!$F$7:$F$16&lt;=Start!$F$5+'Products'!H12+'Products'!I12+'Products'!J12),'PurchaseOrders'!$K$7:$K$16))</f>
      </c>
      <c r="E12" s="18" t="str">
        <f>IF(OR(LEN($A12)=0,'Inventory'!N12&lt;&gt;"Ready"),"",'Products'!M12)</f>
      </c>
      <c r="F12" s="18" t="str">
        <f>IF(OR(LEN($A12)=0,'Inventory'!N12&lt;&gt;"Ready"),"",C12+D12-E12)</f>
      </c>
      <c r="G12" s="21" t="str">
        <f>IF(OR(A12="",'Inventory'!N12&lt;&gt;"Ready"),"",'Products'!S12)</f>
      </c>
      <c r="H12" s="18" t="str">
        <f>IF(OR(LEN($A12)=0,'Inventory'!N12&lt;&gt;"Ready"),"",ROUNDUP(G12*('Products'!H12+'Products'!I12),0))</f>
      </c>
      <c r="I12" s="18" t="str">
        <f>IF(OR(LEN($A12)=0,'Inventory'!N12&lt;&gt;"Ready"),"",ROUNDUP(G12*('Products'!H12+'Products'!I12+'Products'!J12),0))</f>
      </c>
      <c r="J12" s="18" t="str">
        <f>IF(OR(LEN($A12)=0,'Inventory'!N12&lt;&gt;"Ready"),"",'Products'!K12)</f>
      </c>
      <c r="K12" s="18" t="str">
        <f>IF(OR(LEN($A12)=0,'Inventory'!N12&lt;&gt;"Ready"),"",IF(AND(G12&gt;0,F12&lt;=H12),IF(I12-F12&gt;0,ROUNDUP(MAX(I12-F12,'Products'!Q12)/J12,0)*J12,0),0))</f>
      </c>
      <c r="L12" s="36" t="str">
        <f>IF(OR(LEN($A12)=0,'Inventory'!N12&lt;&gt;"Ready"),"",K12*'Products'!F12)</f>
      </c>
      <c r="M12" s="20" t="str">
        <f>IF(OR(OR(LEN($A12)=0,'Inventory'!N12&lt;&gt;"Ready"),G12=0),"",MAX(0,C12-E12)/G12)</f>
      </c>
      <c r="N12" s="39" t="str">
        <f>IF(A12="","",IF('Inventory'!N12&lt;&gt;"Ready","Check inputs",IF(G12=0,"No demand set",IF(V12="Stockout risk","Expedite / stockout risk",IF(OR(Q12&gt;0,S12&gt;0),"Confirm incoming dates",IF(K12&gt;0,"Order suggested","No order"))))))</f>
      </c>
      <c r="O12" s="6" t="str">
        <f>IF(OR(OR(LEN($A12)=0,'Inventory'!N12&lt;&gt;"Ready"),K12&lt;=0),"",COUNTIFS($K$7:$K$16,"&gt;0",$M$7:$M$16,"&lt;"&amp;M12)+COUNTIFS($K$7:K12,"&gt;0",$M$7:M12,M12))</f>
      </c>
      <c r="P12" t="str">
        <f>IF(OR(A12="",'Inventory'!N12&lt;&gt;"Ready"),"",'Products'!L12+SUMPRODUCT(--('PurchaseOrders'!$C$7:$C$16=A12),--('PurchaseOrders'!$N$7:$N$16="Ready"),'PurchaseOrders'!$K$7:$K$16))</f>
      </c>
      <c r="Q12" t="str">
        <f>IF(OR(A12="",'Inventory'!N12&lt;&gt;"Ready"),"",SUMPRODUCT(--('PurchaseOrders'!$C$7:$C$16=A12),--('PurchaseOrders'!$N$7:$N$16="Ready"),--('PurchaseOrders'!$F$7:$F$16&lt;Start!$F$5),'PurchaseOrders'!$K$7:$K$16))</f>
      </c>
      <c r="R12" t="str">
        <f>IF(OR(A12="",'Inventory'!N12&lt;&gt;"Ready"),"",SUMPRODUCT(--('PurchaseOrders'!$C$7:$C$16=A12),--('PurchaseOrders'!$N$7:$N$16="Ready"),--('PurchaseOrders'!$F$7:$F$16&gt;Start!$F$5+'Products'!H12+'Products'!I12+'Products'!J12),'PurchaseOrders'!$K$7:$K$16))</f>
      </c>
      <c r="S12" t="str">
        <f>IF(OR(A12="",'Inventory'!N12&lt;&gt;"Ready"),"",'Products'!L12)</f>
      </c>
      <c r="T12" s="58" t="str">
        <f>IF(OR(OR(A12="",'Inventory'!N12&lt;&gt;"Ready"),G12&lt;=0),"",Start!$F$5+INT(MAX(0,C12-E12)/G12))</f>
      </c>
      <c r="U12" s="58" t="str">
        <f>IF(OR(OR(A12="",'Inventory'!N12&lt;&gt;"Ready"),SUMPRODUCT(--('PurchaseOrders'!$C$7:$C$16=A12),--('PurchaseOrders'!$K$7:$K$16&gt;0),--('PurchaseOrders'!$N$7:$N$16="Ready"),--('PurchaseOrders'!$F$7:$F$16&gt;=Start!$F$5))=0),"",_xlfn.MINIFS('PurchaseOrders'!$F$7:$F$16,'PurchaseOrders'!$P$7:$P$16,6,'PurchaseOrders'!$K$7:$K$16,"&gt;0",'PurchaseOrders'!$N$7:$N$16,"Ready",'PurchaseOrders'!$F$7:$F$16,"&gt;="&amp;Start!$F$5))</f>
      </c>
      <c r="V12" t="str">
        <f>IF(OR(OR(A12="",'Inventory'!N12&lt;&gt;"Ready"),G12&lt;=0),"",IF(OR(AND(T12&lt;Start!$F$5+'Products'!H12,OR(U12="",U12&gt;T12)),SUMPRODUCT(--('Receiving'!$C$7:$C$16=A12),--('Receiving'!$E$7:$E$16&gt;=Start!$F$5),--('Receiving'!$E$7:$E$16&lt;=Start!$F$5+'Products'!H12+'Products'!I12+'Products'!J12),--('Receiving'!$H$7:$H$16&lt;0))&gt;0),"Stockout risk",""))</f>
      </c>
    </row>
    <row r="13" ht="23" customHeight="1">
      <c r="A13" s="6" t="str">
        <f>IF(LEN('Products'!A13)=0,"",'Products'!A13)</f>
      </c>
      <c r="B13" s="6" t="str">
        <f>IF(LEN(A13)=0,"",'Products'!B13)</f>
      </c>
      <c r="C13" s="18" t="str">
        <f>IF(OR(LEN($A13)=0,'Inventory'!N13&lt;&gt;"Ready"),"",'Inventory'!G13)</f>
      </c>
      <c r="D13" s="18" t="str">
        <f>IF(OR(A13="",'Inventory'!N13&lt;&gt;"Ready"),"",SUMPRODUCT(--('PurchaseOrders'!$C$7:$C$16=A13),--('PurchaseOrders'!$N$7:$N$16="Ready"),--('PurchaseOrders'!$F$7:$F$16&gt;=Start!$F$5),--('PurchaseOrders'!$F$7:$F$16&lt;=Start!$F$5+'Products'!H13+'Products'!I13+'Products'!J13),'PurchaseOrders'!$K$7:$K$16))</f>
      </c>
      <c r="E13" s="18" t="str">
        <f>IF(OR(LEN($A13)=0,'Inventory'!N13&lt;&gt;"Ready"),"",'Products'!M13)</f>
      </c>
      <c r="F13" s="18" t="str">
        <f>IF(OR(LEN($A13)=0,'Inventory'!N13&lt;&gt;"Ready"),"",C13+D13-E13)</f>
      </c>
      <c r="G13" s="21" t="str">
        <f>IF(OR(A13="",'Inventory'!N13&lt;&gt;"Ready"),"",'Products'!S13)</f>
      </c>
      <c r="H13" s="18" t="str">
        <f>IF(OR(LEN($A13)=0,'Inventory'!N13&lt;&gt;"Ready"),"",ROUNDUP(G13*('Products'!H13+'Products'!I13),0))</f>
      </c>
      <c r="I13" s="18" t="str">
        <f>IF(OR(LEN($A13)=0,'Inventory'!N13&lt;&gt;"Ready"),"",ROUNDUP(G13*('Products'!H13+'Products'!I13+'Products'!J13),0))</f>
      </c>
      <c r="J13" s="18" t="str">
        <f>IF(OR(LEN($A13)=0,'Inventory'!N13&lt;&gt;"Ready"),"",'Products'!K13)</f>
      </c>
      <c r="K13" s="18" t="str">
        <f>IF(OR(LEN($A13)=0,'Inventory'!N13&lt;&gt;"Ready"),"",IF(AND(G13&gt;0,F13&lt;=H13),IF(I13-F13&gt;0,ROUNDUP(MAX(I13-F13,'Products'!Q13)/J13,0)*J13,0),0))</f>
      </c>
      <c r="L13" s="36" t="str">
        <f>IF(OR(LEN($A13)=0,'Inventory'!N13&lt;&gt;"Ready"),"",K13*'Products'!F13)</f>
      </c>
      <c r="M13" s="20" t="str">
        <f>IF(OR(OR(LEN($A13)=0,'Inventory'!N13&lt;&gt;"Ready"),G13=0),"",MAX(0,C13-E13)/G13)</f>
      </c>
      <c r="N13" s="39" t="str">
        <f>IF(A13="","",IF('Inventory'!N13&lt;&gt;"Ready","Check inputs",IF(G13=0,"No demand set",IF(V13="Stockout risk","Expedite / stockout risk",IF(OR(Q13&gt;0,S13&gt;0),"Confirm incoming dates",IF(K13&gt;0,"Order suggested","No order"))))))</f>
      </c>
      <c r="O13" s="6" t="str">
        <f>IF(OR(OR(LEN($A13)=0,'Inventory'!N13&lt;&gt;"Ready"),K13&lt;=0),"",COUNTIFS($K$7:$K$16,"&gt;0",$M$7:$M$16,"&lt;"&amp;M13)+COUNTIFS($K$7:K13,"&gt;0",$M$7:M13,M13))</f>
      </c>
      <c r="P13" t="str">
        <f>IF(OR(A13="",'Inventory'!N13&lt;&gt;"Ready"),"",'Products'!L13+SUMPRODUCT(--('PurchaseOrders'!$C$7:$C$16=A13),--('PurchaseOrders'!$N$7:$N$16="Ready"),'PurchaseOrders'!$K$7:$K$16))</f>
      </c>
      <c r="Q13" t="str">
        <f>IF(OR(A13="",'Inventory'!N13&lt;&gt;"Ready"),"",SUMPRODUCT(--('PurchaseOrders'!$C$7:$C$16=A13),--('PurchaseOrders'!$N$7:$N$16="Ready"),--('PurchaseOrders'!$F$7:$F$16&lt;Start!$F$5),'PurchaseOrders'!$K$7:$K$16))</f>
      </c>
      <c r="R13" t="str">
        <f>IF(OR(A13="",'Inventory'!N13&lt;&gt;"Ready"),"",SUMPRODUCT(--('PurchaseOrders'!$C$7:$C$16=A13),--('PurchaseOrders'!$N$7:$N$16="Ready"),--('PurchaseOrders'!$F$7:$F$16&gt;Start!$F$5+'Products'!H13+'Products'!I13+'Products'!J13),'PurchaseOrders'!$K$7:$K$16))</f>
      </c>
      <c r="S13" t="str">
        <f>IF(OR(A13="",'Inventory'!N13&lt;&gt;"Ready"),"",'Products'!L13)</f>
      </c>
      <c r="T13" s="58" t="str">
        <f>IF(OR(OR(A13="",'Inventory'!N13&lt;&gt;"Ready"),G13&lt;=0),"",Start!$F$5+INT(MAX(0,C13-E13)/G13))</f>
      </c>
      <c r="U13" s="58" t="str">
        <f>IF(OR(OR(A13="",'Inventory'!N13&lt;&gt;"Ready"),SUMPRODUCT(--('PurchaseOrders'!$C$7:$C$16=A13),--('PurchaseOrders'!$K$7:$K$16&gt;0),--('PurchaseOrders'!$N$7:$N$16="Ready"),--('PurchaseOrders'!$F$7:$F$16&gt;=Start!$F$5))=0),"",_xlfn.MINIFS('PurchaseOrders'!$F$7:$F$16,'PurchaseOrders'!$P$7:$P$16,7,'PurchaseOrders'!$K$7:$K$16,"&gt;0",'PurchaseOrders'!$N$7:$N$16,"Ready",'PurchaseOrders'!$F$7:$F$16,"&gt;="&amp;Start!$F$5))</f>
      </c>
      <c r="V13" t="str">
        <f>IF(OR(OR(A13="",'Inventory'!N13&lt;&gt;"Ready"),G13&lt;=0),"",IF(OR(AND(T13&lt;Start!$F$5+'Products'!H13,OR(U13="",U13&gt;T13)),SUMPRODUCT(--('Receiving'!$C$7:$C$16=A13),--('Receiving'!$E$7:$E$16&gt;=Start!$F$5),--('Receiving'!$E$7:$E$16&lt;=Start!$F$5+'Products'!H13+'Products'!I13+'Products'!J13),--('Receiving'!$H$7:$H$16&lt;0))&gt;0),"Stockout risk",""))</f>
      </c>
    </row>
    <row r="14" ht="23" customHeight="1">
      <c r="A14" s="6" t="str">
        <f>IF(LEN('Products'!A14)=0,"",'Products'!A14)</f>
      </c>
      <c r="B14" s="6" t="str">
        <f>IF(LEN(A14)=0,"",'Products'!B14)</f>
      </c>
      <c r="C14" s="18" t="str">
        <f>IF(OR(LEN($A14)=0,'Inventory'!N14&lt;&gt;"Ready"),"",'Inventory'!G14)</f>
      </c>
      <c r="D14" s="18" t="str">
        <f>IF(OR(A14="",'Inventory'!N14&lt;&gt;"Ready"),"",SUMPRODUCT(--('PurchaseOrders'!$C$7:$C$16=A14),--('PurchaseOrders'!$N$7:$N$16="Ready"),--('PurchaseOrders'!$F$7:$F$16&gt;=Start!$F$5),--('PurchaseOrders'!$F$7:$F$16&lt;=Start!$F$5+'Products'!H14+'Products'!I14+'Products'!J14),'PurchaseOrders'!$K$7:$K$16))</f>
      </c>
      <c r="E14" s="18" t="str">
        <f>IF(OR(LEN($A14)=0,'Inventory'!N14&lt;&gt;"Ready"),"",'Products'!M14)</f>
      </c>
      <c r="F14" s="18" t="str">
        <f>IF(OR(LEN($A14)=0,'Inventory'!N14&lt;&gt;"Ready"),"",C14+D14-E14)</f>
      </c>
      <c r="G14" s="21" t="str">
        <f>IF(OR(A14="",'Inventory'!N14&lt;&gt;"Ready"),"",'Products'!S14)</f>
      </c>
      <c r="H14" s="18" t="str">
        <f>IF(OR(LEN($A14)=0,'Inventory'!N14&lt;&gt;"Ready"),"",ROUNDUP(G14*('Products'!H14+'Products'!I14),0))</f>
      </c>
      <c r="I14" s="18" t="str">
        <f>IF(OR(LEN($A14)=0,'Inventory'!N14&lt;&gt;"Ready"),"",ROUNDUP(G14*('Products'!H14+'Products'!I14+'Products'!J14),0))</f>
      </c>
      <c r="J14" s="18" t="str">
        <f>IF(OR(LEN($A14)=0,'Inventory'!N14&lt;&gt;"Ready"),"",'Products'!K14)</f>
      </c>
      <c r="K14" s="18" t="str">
        <f>IF(OR(LEN($A14)=0,'Inventory'!N14&lt;&gt;"Ready"),"",IF(AND(G14&gt;0,F14&lt;=H14),IF(I14-F14&gt;0,ROUNDUP(MAX(I14-F14,'Products'!Q14)/J14,0)*J14,0),0))</f>
      </c>
      <c r="L14" s="36" t="str">
        <f>IF(OR(LEN($A14)=0,'Inventory'!N14&lt;&gt;"Ready"),"",K14*'Products'!F14)</f>
      </c>
      <c r="M14" s="20" t="str">
        <f>IF(OR(OR(LEN($A14)=0,'Inventory'!N14&lt;&gt;"Ready"),G14=0),"",MAX(0,C14-E14)/G14)</f>
      </c>
      <c r="N14" s="39" t="str">
        <f>IF(A14="","",IF('Inventory'!N14&lt;&gt;"Ready","Check inputs",IF(G14=0,"No demand set",IF(V14="Stockout risk","Expedite / stockout risk",IF(OR(Q14&gt;0,S14&gt;0),"Confirm incoming dates",IF(K14&gt;0,"Order suggested","No order"))))))</f>
      </c>
      <c r="O14" s="6" t="str">
        <f>IF(OR(OR(LEN($A14)=0,'Inventory'!N14&lt;&gt;"Ready"),K14&lt;=0),"",COUNTIFS($K$7:$K$16,"&gt;0",$M$7:$M$16,"&lt;"&amp;M14)+COUNTIFS($K$7:K14,"&gt;0",$M$7:M14,M14))</f>
      </c>
      <c r="P14" t="str">
        <f>IF(OR(A14="",'Inventory'!N14&lt;&gt;"Ready"),"",'Products'!L14+SUMPRODUCT(--('PurchaseOrders'!$C$7:$C$16=A14),--('PurchaseOrders'!$N$7:$N$16="Ready"),'PurchaseOrders'!$K$7:$K$16))</f>
      </c>
      <c r="Q14" t="str">
        <f>IF(OR(A14="",'Inventory'!N14&lt;&gt;"Ready"),"",SUMPRODUCT(--('PurchaseOrders'!$C$7:$C$16=A14),--('PurchaseOrders'!$N$7:$N$16="Ready"),--('PurchaseOrders'!$F$7:$F$16&lt;Start!$F$5),'PurchaseOrders'!$K$7:$K$16))</f>
      </c>
      <c r="R14" t="str">
        <f>IF(OR(A14="",'Inventory'!N14&lt;&gt;"Ready"),"",SUMPRODUCT(--('PurchaseOrders'!$C$7:$C$16=A14),--('PurchaseOrders'!$N$7:$N$16="Ready"),--('PurchaseOrders'!$F$7:$F$16&gt;Start!$F$5+'Products'!H14+'Products'!I14+'Products'!J14),'PurchaseOrders'!$K$7:$K$16))</f>
      </c>
      <c r="S14" t="str">
        <f>IF(OR(A14="",'Inventory'!N14&lt;&gt;"Ready"),"",'Products'!L14)</f>
      </c>
      <c r="T14" s="58" t="str">
        <f>IF(OR(OR(A14="",'Inventory'!N14&lt;&gt;"Ready"),G14&lt;=0),"",Start!$F$5+INT(MAX(0,C14-E14)/G14))</f>
      </c>
      <c r="U14" s="58" t="str">
        <f>IF(OR(OR(A14="",'Inventory'!N14&lt;&gt;"Ready"),SUMPRODUCT(--('PurchaseOrders'!$C$7:$C$16=A14),--('PurchaseOrders'!$K$7:$K$16&gt;0),--('PurchaseOrders'!$N$7:$N$16="Ready"),--('PurchaseOrders'!$F$7:$F$16&gt;=Start!$F$5))=0),"",_xlfn.MINIFS('PurchaseOrders'!$F$7:$F$16,'PurchaseOrders'!$P$7:$P$16,8,'PurchaseOrders'!$K$7:$K$16,"&gt;0",'PurchaseOrders'!$N$7:$N$16,"Ready",'PurchaseOrders'!$F$7:$F$16,"&gt;="&amp;Start!$F$5))</f>
      </c>
      <c r="V14" t="str">
        <f>IF(OR(OR(A14="",'Inventory'!N14&lt;&gt;"Ready"),G14&lt;=0),"",IF(OR(AND(T14&lt;Start!$F$5+'Products'!H14,OR(U14="",U14&gt;T14)),SUMPRODUCT(--('Receiving'!$C$7:$C$16=A14),--('Receiving'!$E$7:$E$16&gt;=Start!$F$5),--('Receiving'!$E$7:$E$16&lt;=Start!$F$5+'Products'!H14+'Products'!I14+'Products'!J14),--('Receiving'!$H$7:$H$16&lt;0))&gt;0),"Stockout risk",""))</f>
      </c>
    </row>
    <row r="15" ht="23" customHeight="1">
      <c r="A15" s="6" t="str">
        <f>IF(LEN('Products'!A15)=0,"",'Products'!A15)</f>
      </c>
      <c r="B15" s="6" t="str">
        <f>IF(LEN(A15)=0,"",'Products'!B15)</f>
      </c>
      <c r="C15" s="18" t="str">
        <f>IF(OR(LEN($A15)=0,'Inventory'!N15&lt;&gt;"Ready"),"",'Inventory'!G15)</f>
      </c>
      <c r="D15" s="18" t="str">
        <f>IF(OR(A15="",'Inventory'!N15&lt;&gt;"Ready"),"",SUMPRODUCT(--('PurchaseOrders'!$C$7:$C$16=A15),--('PurchaseOrders'!$N$7:$N$16="Ready"),--('PurchaseOrders'!$F$7:$F$16&gt;=Start!$F$5),--('PurchaseOrders'!$F$7:$F$16&lt;=Start!$F$5+'Products'!H15+'Products'!I15+'Products'!J15),'PurchaseOrders'!$K$7:$K$16))</f>
      </c>
      <c r="E15" s="18" t="str">
        <f>IF(OR(LEN($A15)=0,'Inventory'!N15&lt;&gt;"Ready"),"",'Products'!M15)</f>
      </c>
      <c r="F15" s="18" t="str">
        <f>IF(OR(LEN($A15)=0,'Inventory'!N15&lt;&gt;"Ready"),"",C15+D15-E15)</f>
      </c>
      <c r="G15" s="21" t="str">
        <f>IF(OR(A15="",'Inventory'!N15&lt;&gt;"Ready"),"",'Products'!S15)</f>
      </c>
      <c r="H15" s="18" t="str">
        <f>IF(OR(LEN($A15)=0,'Inventory'!N15&lt;&gt;"Ready"),"",ROUNDUP(G15*('Products'!H15+'Products'!I15),0))</f>
      </c>
      <c r="I15" s="18" t="str">
        <f>IF(OR(LEN($A15)=0,'Inventory'!N15&lt;&gt;"Ready"),"",ROUNDUP(G15*('Products'!H15+'Products'!I15+'Products'!J15),0))</f>
      </c>
      <c r="J15" s="18" t="str">
        <f>IF(OR(LEN($A15)=0,'Inventory'!N15&lt;&gt;"Ready"),"",'Products'!K15)</f>
      </c>
      <c r="K15" s="18" t="str">
        <f>IF(OR(LEN($A15)=0,'Inventory'!N15&lt;&gt;"Ready"),"",IF(AND(G15&gt;0,F15&lt;=H15),IF(I15-F15&gt;0,ROUNDUP(MAX(I15-F15,'Products'!Q15)/J15,0)*J15,0),0))</f>
      </c>
      <c r="L15" s="36" t="str">
        <f>IF(OR(LEN($A15)=0,'Inventory'!N15&lt;&gt;"Ready"),"",K15*'Products'!F15)</f>
      </c>
      <c r="M15" s="20" t="str">
        <f>IF(OR(OR(LEN($A15)=0,'Inventory'!N15&lt;&gt;"Ready"),G15=0),"",MAX(0,C15-E15)/G15)</f>
      </c>
      <c r="N15" s="39" t="str">
        <f>IF(A15="","",IF('Inventory'!N15&lt;&gt;"Ready","Check inputs",IF(G15=0,"No demand set",IF(V15="Stockout risk","Expedite / stockout risk",IF(OR(Q15&gt;0,S15&gt;0),"Confirm incoming dates",IF(K15&gt;0,"Order suggested","No order"))))))</f>
      </c>
      <c r="O15" s="6" t="str">
        <f>IF(OR(OR(LEN($A15)=0,'Inventory'!N15&lt;&gt;"Ready"),K15&lt;=0),"",COUNTIFS($K$7:$K$16,"&gt;0",$M$7:$M$16,"&lt;"&amp;M15)+COUNTIFS($K$7:K15,"&gt;0",$M$7:M15,M15))</f>
      </c>
      <c r="P15" t="str">
        <f>IF(OR(A15="",'Inventory'!N15&lt;&gt;"Ready"),"",'Products'!L15+SUMPRODUCT(--('PurchaseOrders'!$C$7:$C$16=A15),--('PurchaseOrders'!$N$7:$N$16="Ready"),'PurchaseOrders'!$K$7:$K$16))</f>
      </c>
      <c r="Q15" t="str">
        <f>IF(OR(A15="",'Inventory'!N15&lt;&gt;"Ready"),"",SUMPRODUCT(--('PurchaseOrders'!$C$7:$C$16=A15),--('PurchaseOrders'!$N$7:$N$16="Ready"),--('PurchaseOrders'!$F$7:$F$16&lt;Start!$F$5),'PurchaseOrders'!$K$7:$K$16))</f>
      </c>
      <c r="R15" t="str">
        <f>IF(OR(A15="",'Inventory'!N15&lt;&gt;"Ready"),"",SUMPRODUCT(--('PurchaseOrders'!$C$7:$C$16=A15),--('PurchaseOrders'!$N$7:$N$16="Ready"),--('PurchaseOrders'!$F$7:$F$16&gt;Start!$F$5+'Products'!H15+'Products'!I15+'Products'!J15),'PurchaseOrders'!$K$7:$K$16))</f>
      </c>
      <c r="S15" t="str">
        <f>IF(OR(A15="",'Inventory'!N15&lt;&gt;"Ready"),"",'Products'!L15)</f>
      </c>
      <c r="T15" s="58" t="str">
        <f>IF(OR(OR(A15="",'Inventory'!N15&lt;&gt;"Ready"),G15&lt;=0),"",Start!$F$5+INT(MAX(0,C15-E15)/G15))</f>
      </c>
      <c r="U15" s="58" t="str">
        <f>IF(OR(OR(A15="",'Inventory'!N15&lt;&gt;"Ready"),SUMPRODUCT(--('PurchaseOrders'!$C$7:$C$16=A15),--('PurchaseOrders'!$K$7:$K$16&gt;0),--('PurchaseOrders'!$N$7:$N$16="Ready"),--('PurchaseOrders'!$F$7:$F$16&gt;=Start!$F$5))=0),"",_xlfn.MINIFS('PurchaseOrders'!$F$7:$F$16,'PurchaseOrders'!$P$7:$P$16,9,'PurchaseOrders'!$K$7:$K$16,"&gt;0",'PurchaseOrders'!$N$7:$N$16,"Ready",'PurchaseOrders'!$F$7:$F$16,"&gt;="&amp;Start!$F$5))</f>
      </c>
      <c r="V15" t="str">
        <f>IF(OR(OR(A15="",'Inventory'!N15&lt;&gt;"Ready"),G15&lt;=0),"",IF(OR(AND(T15&lt;Start!$F$5+'Products'!H15,OR(U15="",U15&gt;T15)),SUMPRODUCT(--('Receiving'!$C$7:$C$16=A15),--('Receiving'!$E$7:$E$16&gt;=Start!$F$5),--('Receiving'!$E$7:$E$16&lt;=Start!$F$5+'Products'!H15+'Products'!I15+'Products'!J15),--('Receiving'!$H$7:$H$16&lt;0))&gt;0),"Stockout risk",""))</f>
      </c>
    </row>
    <row r="16" ht="23" customHeight="1">
      <c r="A16" s="6" t="str">
        <f>IF(LEN('Products'!A16)=0,"",'Products'!A16)</f>
      </c>
      <c r="B16" s="6" t="str">
        <f>IF(LEN(A16)=0,"",'Products'!B16)</f>
      </c>
      <c r="C16" s="18" t="str">
        <f>IF(OR(LEN($A16)=0,'Inventory'!N16&lt;&gt;"Ready"),"",'Inventory'!G16)</f>
      </c>
      <c r="D16" s="18" t="str">
        <f>IF(OR(A16="",'Inventory'!N16&lt;&gt;"Ready"),"",SUMPRODUCT(--('PurchaseOrders'!$C$7:$C$16=A16),--('PurchaseOrders'!$N$7:$N$16="Ready"),--('PurchaseOrders'!$F$7:$F$16&gt;=Start!$F$5),--('PurchaseOrders'!$F$7:$F$16&lt;=Start!$F$5+'Products'!H16+'Products'!I16+'Products'!J16),'PurchaseOrders'!$K$7:$K$16))</f>
      </c>
      <c r="E16" s="18" t="str">
        <f>IF(OR(LEN($A16)=0,'Inventory'!N16&lt;&gt;"Ready"),"",'Products'!M16)</f>
      </c>
      <c r="F16" s="18" t="str">
        <f>IF(OR(LEN($A16)=0,'Inventory'!N16&lt;&gt;"Ready"),"",C16+D16-E16)</f>
      </c>
      <c r="G16" s="21" t="str">
        <f>IF(OR(A16="",'Inventory'!N16&lt;&gt;"Ready"),"",'Products'!S16)</f>
      </c>
      <c r="H16" s="18" t="str">
        <f>IF(OR(LEN($A16)=0,'Inventory'!N16&lt;&gt;"Ready"),"",ROUNDUP(G16*('Products'!H16+'Products'!I16),0))</f>
      </c>
      <c r="I16" s="18" t="str">
        <f>IF(OR(LEN($A16)=0,'Inventory'!N16&lt;&gt;"Ready"),"",ROUNDUP(G16*('Products'!H16+'Products'!I16+'Products'!J16),0))</f>
      </c>
      <c r="J16" s="18" t="str">
        <f>IF(OR(LEN($A16)=0,'Inventory'!N16&lt;&gt;"Ready"),"",'Products'!K16)</f>
      </c>
      <c r="K16" s="18" t="str">
        <f>IF(OR(LEN($A16)=0,'Inventory'!N16&lt;&gt;"Ready"),"",IF(AND(G16&gt;0,F16&lt;=H16),IF(I16-F16&gt;0,ROUNDUP(MAX(I16-F16,'Products'!Q16)/J16,0)*J16,0),0))</f>
      </c>
      <c r="L16" s="36" t="str">
        <f>IF(OR(LEN($A16)=0,'Inventory'!N16&lt;&gt;"Ready"),"",K16*'Products'!F16)</f>
      </c>
      <c r="M16" s="20" t="str">
        <f>IF(OR(OR(LEN($A16)=0,'Inventory'!N16&lt;&gt;"Ready"),G16=0),"",MAX(0,C16-E16)/G16)</f>
      </c>
      <c r="N16" s="39" t="str">
        <f>IF(A16="","",IF('Inventory'!N16&lt;&gt;"Ready","Check inputs",IF(G16=0,"No demand set",IF(V16="Stockout risk","Expedite / stockout risk",IF(OR(Q16&gt;0,S16&gt;0),"Confirm incoming dates",IF(K16&gt;0,"Order suggested","No order"))))))</f>
      </c>
      <c r="O16" s="6" t="str">
        <f>IF(OR(OR(LEN($A16)=0,'Inventory'!N16&lt;&gt;"Ready"),K16&lt;=0),"",COUNTIFS($K$7:$K$16,"&gt;0",$M$7:$M$16,"&lt;"&amp;M16)+COUNTIFS($K$7:K16,"&gt;0",$M$7:M16,M16))</f>
      </c>
      <c r="P16" t="str">
        <f>IF(OR(A16="",'Inventory'!N16&lt;&gt;"Ready"),"",'Products'!L16+SUMPRODUCT(--('PurchaseOrders'!$C$7:$C$16=A16),--('PurchaseOrders'!$N$7:$N$16="Ready"),'PurchaseOrders'!$K$7:$K$16))</f>
      </c>
      <c r="Q16" t="str">
        <f>IF(OR(A16="",'Inventory'!N16&lt;&gt;"Ready"),"",SUMPRODUCT(--('PurchaseOrders'!$C$7:$C$16=A16),--('PurchaseOrders'!$N$7:$N$16="Ready"),--('PurchaseOrders'!$F$7:$F$16&lt;Start!$F$5),'PurchaseOrders'!$K$7:$K$16))</f>
      </c>
      <c r="R16" t="str">
        <f>IF(OR(A16="",'Inventory'!N16&lt;&gt;"Ready"),"",SUMPRODUCT(--('PurchaseOrders'!$C$7:$C$16=A16),--('PurchaseOrders'!$N$7:$N$16="Ready"),--('PurchaseOrders'!$F$7:$F$16&gt;Start!$F$5+'Products'!H16+'Products'!I16+'Products'!J16),'PurchaseOrders'!$K$7:$K$16))</f>
      </c>
      <c r="S16" t="str">
        <f>IF(OR(A16="",'Inventory'!N16&lt;&gt;"Ready"),"",'Products'!L16)</f>
      </c>
      <c r="T16" s="58" t="str">
        <f>IF(OR(OR(A16="",'Inventory'!N16&lt;&gt;"Ready"),G16&lt;=0),"",Start!$F$5+INT(MAX(0,C16-E16)/G16))</f>
      </c>
      <c r="U16" s="58" t="str">
        <f>IF(OR(OR(A16="",'Inventory'!N16&lt;&gt;"Ready"),SUMPRODUCT(--('PurchaseOrders'!$C$7:$C$16=A16),--('PurchaseOrders'!$K$7:$K$16&gt;0),--('PurchaseOrders'!$N$7:$N$16="Ready"),--('PurchaseOrders'!$F$7:$F$16&gt;=Start!$F$5))=0),"",_xlfn.MINIFS('PurchaseOrders'!$F$7:$F$16,'PurchaseOrders'!$P$7:$P$16,10,'PurchaseOrders'!$K$7:$K$16,"&gt;0",'PurchaseOrders'!$N$7:$N$16,"Ready",'PurchaseOrders'!$F$7:$F$16,"&gt;="&amp;Start!$F$5))</f>
      </c>
      <c r="V16" t="str">
        <f>IF(OR(OR(A16="",'Inventory'!N16&lt;&gt;"Ready"),G16&lt;=0),"",IF(OR(AND(T16&lt;Start!$F$5+'Products'!H16,OR(U16="",U16&gt;T16)),SUMPRODUCT(--('Receiving'!$C$7:$C$16=A16),--('Receiving'!$E$7:$E$16&gt;=Start!$F$5),--('Receiving'!$E$7:$E$16&lt;=Start!$F$5+'Products'!H16+'Products'!I16+'Products'!J16),--('Receiving'!$H$7:$H$16&lt;0))&gt;0),"Stockout risk",""))</f>
      </c>
    </row>
  </sheetData>
  <sheetProtection sheet="1" objects="1" scenarios="1" autoFilter="0" sort="1" formatColumns="0" formatRows="0" selectLockedCells="0" selectUnlockedCells="0"/>
  <mergeCells>
    <mergeCell ref="A5:O5"/>
    <mergeCell ref="A3:O3"/>
  </mergeCells>
  <conditionalFormatting sqref="K7:K16">
    <cfRule type="cellIs" dxfId="4" priority="1" operator="greaterThan">
      <formula>0</formula>
    </cfRule>
  </conditionalFormatting>
  <conditionalFormatting sqref="A7:O16">
    <cfRule type="expression" dxfId="5" priority="2">
      <formula>$N7="Check inputs"</formula>
    </cfRule>
  </conditionalFormatting>
  <conditionalFormatting sqref="L7:L16">
    <cfRule type="expression" dxfId="39" priority="3">
      <formula>INDIRECT("Start!$C$7")="AUD"</formula>
    </cfRule>
    <cfRule type="expression" dxfId="40" priority="4">
      <formula>INDIRECT("Start!$C$7")="NZD"</formula>
    </cfRule>
    <cfRule type="expression" dxfId="41" priority="5">
      <formula>INDIRECT("Start!$C$7")="USD"</formula>
    </cfRule>
    <cfRule type="expression" dxfId="42" priority="6">
      <formula>INDIRECT("Start!$C$7")="GBP"</formula>
    </cfRule>
    <cfRule type="expression" dxfId="43" priority="7">
      <formula>INDIRECT("Start!$C$7")="CAD"</formula>
    </cfRule>
    <cfRule type="expression" dxfId="44" priority="8">
      <formula>INDIRECT("Start!$C$7")="CNY"</formula>
    </cfRule>
    <cfRule type="expression" dxfId="45" priority="9">
      <formula>INDIRECT("Start!$C$7")="SGD"</formula>
    </cfRule>
    <cfRule type="expression" dxfId="46" priority="10">
      <formula>INDIRECT("Start!$C$7")="EUR"</formula>
    </cfRule>
    <cfRule type="expression" dxfId="47" priority="11">
      <formula>INDIRECT("Start!$C$7")="JPY"</formula>
    </cfRule>
  </conditionalFormatting>
  <conditionalFormatting sqref="T7:U16">
    <cfRule type="expression" dxfId="106" priority="12">
      <formula>INDIRECT("Start!$F$7")="dd/mm/yyyy"</formula>
    </cfRule>
    <cfRule type="expression" dxfId="107" priority="13">
      <formula>INDIRECT("Start!$F$7")="mm/dd/yyyy"</formula>
    </cfRule>
    <cfRule type="expression" dxfId="108" priority="14">
      <formula>INDIRECT("Start!$F$7")="yyyy-mm-dd"</formula>
    </cfRule>
    <cfRule type="expression" dxfId="109" priority="15">
      <formula>INDIRECT("Start!$F$7")="dd.mm.yyyy"</formula>
    </cfRule>
    <cfRule type="expression" dxfId="110" priority="16">
      <formula>INDIRECT("Start!$F$7")="yyyy/mm/dd"</formula>
    </cfRule>
  </conditionalFormatting>
  <conditionalFormatting sqref="N7:N16">
    <cfRule type="expression" dxfId="111" priority="17">
      <formula>$V7="Stockout risk"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9c28e21c3813415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6" topLeftCell="D7" activePane="bottomRight" state="frozen"/>
    </sheetView>
  </sheetViews>
  <sheetFormatPr defaultRowHeight="15"/>
  <cols>
    <col min="1" max="1" width="20" hidden="0" customWidth="1"/>
    <col min="2" max="2" width="20" hidden="0" customWidth="1"/>
    <col min="3" max="3" width="19" hidden="0" customWidth="1"/>
    <col min="4" max="4" width="26" hidden="0" customWidth="1"/>
    <col min="5" max="5" width="17" hidden="0" customWidth="1"/>
    <col min="6" max="6" width="17" hidden="0" customWidth="1"/>
    <col min="7" max="7" width="18" hidden="0" customWidth="1"/>
    <col min="8" max="8" width="18" hidden="0" customWidth="1"/>
    <col min="9" max="9" width="18" hidden="0" customWidth="1"/>
    <col min="10" max="10" width="18" hidden="0" customWidth="1"/>
    <col min="11" max="11" width="18" hidden="0" customWidth="1"/>
    <col min="12" max="12" width="20" hidden="0" customWidth="1"/>
    <col min="13" max="13" width="25" hidden="0" customWidth="1"/>
    <col min="14" max="14" width="25" hidden="0" customWidth="1"/>
    <col min="15" max="15" width="19" hidden="0" customWidth="1"/>
  </cols>
  <sheetData>
    <row r="1" ht="28" customHeight="1">
      <c r="A1" s="52" t="str">
        <v>Home</v>
      </c>
      <c r="B1" s="2"/>
      <c r="C1" s="2"/>
      <c r="D1" s="52" t="str">
        <v>Inventory</v>
      </c>
      <c r="E1" s="2"/>
      <c r="F1" s="2"/>
      <c r="G1" s="52" t="str">
        <v>Receive</v>
      </c>
      <c r="H1" s="2"/>
      <c r="I1" s="2"/>
      <c r="J1" s="52" t="str">
        <v>Reorder</v>
      </c>
      <c r="K1" s="2"/>
      <c r="L1" s="2"/>
      <c r="M1" s="2"/>
      <c r="N1" s="2"/>
      <c r="O1" s="2"/>
    </row>
    <row r="2" ht="23" customHeight="1">
      <c r="A2" s="3" t="str">
        <v>Purchase orders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>
      <c r="A3" s="40" t="str">
        <v>One row per PO line. Link each receipt in Transactions column J. Cancelled lines keep historical receipts but have no outstanding quantity.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ht="23" customHeight="1">
      <c r="A4" s="2" t="str">
        <v>Lines used</v>
      </c>
      <c r="B4" s="2" t="n">
        <f>SUMPRODUCT(--(N7:N16&lt;&gt;""))</f>
        <v>1</v>
      </c>
      <c r="C4" s="2" t="str">
        <v>Remaining</v>
      </c>
      <c r="D4" s="2" t="n">
        <f>10-B4</f>
        <v>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3" customHeight="1">
      <c r="A5" s="4" t="str">
        <f>"Review date: "&amp;TEXT(Start!$F$5,"yyyy-mm-dd")&amp;". Quantities use each SKU unit. Open values use the PO unit cost. No currency conversion."</f>
        <v>Review date: 2026-10-18. Quantities use each SKU unit. Open values use the PO unit cost. No currency conversion.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38" customHeight="1">
      <c r="A6" s="10" t="str">
        <v>PO line ID</v>
      </c>
      <c r="B6" s="10" t="str">
        <v>PO number</v>
      </c>
      <c r="C6" s="10" t="str">
        <v>SKU</v>
      </c>
      <c r="D6" s="10" t="str">
        <v>Supplier</v>
      </c>
      <c r="E6" s="10" t="str">
        <v>Order date</v>
      </c>
      <c r="F6" s="10" t="str">
        <v>Due date</v>
      </c>
      <c r="G6" s="10" t="str">
        <v>Qty ordered</v>
      </c>
      <c r="H6" s="10" t="str">
        <v>PO unit cost</v>
      </c>
      <c r="I6" s="10" t="str">
        <v>Order status</v>
      </c>
      <c r="J6" s="10" t="str">
        <v>Received qty</v>
      </c>
      <c r="K6" s="10" t="str">
        <v>Outstanding qty</v>
      </c>
      <c r="L6" s="10" t="str">
        <v>Open value</v>
      </c>
      <c r="M6" s="10" t="str">
        <v>Delivery state</v>
      </c>
      <c r="N6" s="10" t="str">
        <v>Input status</v>
      </c>
      <c r="O6" s="10" t="str">
        <v>Receipt issues</v>
      </c>
      <c r="P6" t="str">
        <v>SKU row (calculated)</v>
      </c>
    </row>
    <row r="7" ht="23" customHeight="1">
      <c r="A7" s="65" t="str">
        <v>POL-001</v>
      </c>
      <c r="B7" s="65" t="str">
        <v>PO-EXAMPLE-001</v>
      </c>
      <c r="C7" s="65" t="str">
        <v>SKU000123</v>
      </c>
      <c r="D7" s="65" t="str">
        <v>Example Supplier</v>
      </c>
      <c r="E7" s="63" t="d">
        <v>2026-10-01T00:00:00.000Z</v>
      </c>
      <c r="F7" s="63" t="d">
        <v>2026-10-21T00:00:00.000Z</v>
      </c>
      <c r="G7" s="66" t="n">
        <v>1000</v>
      </c>
      <c r="H7" s="67" t="n">
        <v>9</v>
      </c>
      <c r="I7" s="65" t="str">
        <v>Open</v>
      </c>
      <c r="J7" s="41" t="n">
        <f>IF(A7="","",IF(OR(N7&lt;&gt;"Ready",O7&gt;0,NOT(AND(ISNUMBER(Start!$F$5),Start!$F$5&gt;=1,Start!$F$5&lt;=73415,MOD(Start!$F$5,1)=0))),"",SUMPRODUCT(--('Transactions'!$J$7:$J$106=A7),--('Transactions'!$D$7:$D$106="IN"),--('Transactions'!$H$7:$H$106="Ready"),--('Transactions'!$B$7:$B$106&lt;=Start!$F$5),'Transactions'!$E$7:$E$106)))</f>
        <v>10</v>
      </c>
      <c r="K7" s="41" t="n">
        <f>IF(LEN(A7)=0,"",IF(OR(N7&lt;&gt;"Ready",O7&gt;0),"",IF(I7="Cancelled",0,MAX(0,G7-J7))))</f>
        <v>990</v>
      </c>
      <c r="L7" s="27" t="n">
        <f>IF(LEN(A7)=0,"",IF(OR(N7&lt;&gt;"Ready",O7&gt;0),"",K7*H7))</f>
        <v>8910</v>
      </c>
      <c r="M7" s="2" t="str">
        <f>IF(LEN(A7)=0,"",IF(N7&lt;&gt;"Ready","Check inputs",IF(O7&gt;0,"Check receipts",IF(J7&gt;G7,"Over-received",IF(I7="Cancelled","Cancelled",IF(K7=0,"Complete",IF(OR(NOT(ISNUMBER(Start!$F$5)),Start!$F$5&lt;1,Start!$F$5&gt;73415,MOD(Start!$F$5,1)&lt;&gt;0),"Set review date",IF(F7&lt;Start!$F$5,"Overdue",IF(F7=Start!$F$5,"Due today","Expected")))))))))</f>
        <v>Expected</v>
      </c>
      <c r="N7" s="2" t="str">
        <f>IF(COUNTA(A7:I7)=0,"",IF(OR(LEN(A7)=0,LEN(B7)=0,LEN(C7)=0,LEN(D7)=0,COUNT(E7:H7)&lt;&gt;4,LEN(I7)=0),"Missing inputs",IF(SUMPRODUCT(--($A$7:$A$16=A7))&lt;&gt;1,"Duplicate PO line",IF(SUMPRODUCT(--('Products'!$A$7:$A$16=C7),--('Products'!$P$7:$P$16="Ready"))&lt;&gt;1,"Check SKU",IF(OR(E7&lt;1,E7&gt;73415,F7&lt;E7,F7&gt;73415,MOD(E7,1)&lt;&gt;0,MOD(F7,1)&lt;&gt;0),"Check dates",IF(OR(G7&lt;=0,G7&gt;1000000000,MOD(G7,1)&lt;&gt;0,H7&lt;0,H7&gt;1000000000),"Check numbers",IF(AND(I7&lt;&gt;"Open",I7&lt;&gt;"Cancelled"),"Choose order status","Ready")))))))</f>
        <v>Ready</v>
      </c>
      <c r="O7" s="2" t="n">
        <f>IF(LEN(A7)=0,"",SUMPRODUCT(--('Transactions'!$J$7:$J$106=A7),--('Transactions'!$H$7:$H$106&lt;&gt;"Ready")))</f>
        <v>0</v>
      </c>
      <c r="P7" t="n">
        <f>IF(N7&lt;&gt;"Ready","",SUMPRODUCT(--('Products'!$A$7:$A$16=C7),ROW('Products'!$A$7:$A$16))-6)</f>
        <v>1</v>
      </c>
    </row>
    <row r="8" ht="23" customHeight="1">
      <c r="A8" s="65"/>
      <c r="B8" s="65"/>
      <c r="C8" s="65"/>
      <c r="D8" s="65"/>
      <c r="E8" s="63"/>
      <c r="F8" s="63"/>
      <c r="G8" s="66"/>
      <c r="H8" s="67"/>
      <c r="I8" s="65"/>
      <c r="J8" s="41" t="str">
        <f>IF(A8="","",IF(OR(N8&lt;&gt;"Ready",O8&gt;0,NOT(AND(ISNUMBER(Start!$F$5),Start!$F$5&gt;=1,Start!$F$5&lt;=73415,MOD(Start!$F$5,1)=0))),"",SUMPRODUCT(--('Transactions'!$J$7:$J$106=A8),--('Transactions'!$D$7:$D$106="IN"),--('Transactions'!$H$7:$H$106="Ready"),--('Transactions'!$B$7:$B$106&lt;=Start!$F$5),'Transactions'!$E$7:$E$106)))</f>
      </c>
      <c r="K8" s="41" t="str">
        <f>IF(LEN(A8)=0,"",IF(OR(N8&lt;&gt;"Ready",O8&gt;0),"",IF(I8="Cancelled",0,MAX(0,G8-J8))))</f>
      </c>
      <c r="L8" s="27" t="str">
        <f>IF(LEN(A8)=0,"",IF(OR(N8&lt;&gt;"Ready",O8&gt;0),"",K8*H8))</f>
      </c>
      <c r="M8" s="2" t="str">
        <f>IF(LEN(A8)=0,"",IF(N8&lt;&gt;"Ready","Check inputs",IF(O8&gt;0,"Check receipts",IF(J8&gt;G8,"Over-received",IF(I8="Cancelled","Cancelled",IF(K8=0,"Complete",IF(OR(NOT(ISNUMBER(Start!$F$5)),Start!$F$5&lt;1,Start!$F$5&gt;73415,MOD(Start!$F$5,1)&lt;&gt;0),"Set review date",IF(F8&lt;Start!$F$5,"Overdue",IF(F8=Start!$F$5,"Due today","Expected")))))))))</f>
      </c>
      <c r="N8" s="2" t="str">
        <f>IF(COUNTA(A8:I8)=0,"",IF(OR(LEN(A8)=0,LEN(B8)=0,LEN(C8)=0,LEN(D8)=0,COUNT(E8:H8)&lt;&gt;4,LEN(I8)=0),"Missing inputs",IF(SUMPRODUCT(--($A$7:$A$16=A8))&lt;&gt;1,"Duplicate PO line",IF(SUMPRODUCT(--('Products'!$A$7:$A$16=C8),--('Products'!$P$7:$P$16="Ready"))&lt;&gt;1,"Check SKU",IF(OR(E8&lt;1,E8&gt;73415,F8&lt;E8,F8&gt;73415,MOD(E8,1)&lt;&gt;0,MOD(F8,1)&lt;&gt;0),"Check dates",IF(OR(G8&lt;=0,G8&gt;1000000000,MOD(G8,1)&lt;&gt;0,H8&lt;0,H8&gt;1000000000),"Check numbers",IF(AND(I8&lt;&gt;"Open",I8&lt;&gt;"Cancelled"),"Choose order status","Ready")))))))</f>
      </c>
      <c r="O8" s="2" t="str">
        <f>IF(LEN(A8)=0,"",SUMPRODUCT(--('Transactions'!$J$7:$J$106=A8),--('Transactions'!$H$7:$H$106&lt;&gt;"Ready")))</f>
      </c>
      <c r="P8" t="str">
        <f>IF(N8&lt;&gt;"Ready","",SUMPRODUCT(--('Products'!$A$7:$A$16=C8),ROW('Products'!$A$7:$A$16))-6)</f>
      </c>
    </row>
    <row r="9" ht="23" customHeight="1">
      <c r="A9" s="65"/>
      <c r="B9" s="65"/>
      <c r="C9" s="65"/>
      <c r="D9" s="65"/>
      <c r="E9" s="63"/>
      <c r="F9" s="63"/>
      <c r="G9" s="66"/>
      <c r="H9" s="67"/>
      <c r="I9" s="65"/>
      <c r="J9" s="41" t="str">
        <f>IF(A9="","",IF(OR(N9&lt;&gt;"Ready",O9&gt;0,NOT(AND(ISNUMBER(Start!$F$5),Start!$F$5&gt;=1,Start!$F$5&lt;=73415,MOD(Start!$F$5,1)=0))),"",SUMPRODUCT(--('Transactions'!$J$7:$J$106=A9),--('Transactions'!$D$7:$D$106="IN"),--('Transactions'!$H$7:$H$106="Ready"),--('Transactions'!$B$7:$B$106&lt;=Start!$F$5),'Transactions'!$E$7:$E$106)))</f>
      </c>
      <c r="K9" s="41" t="str">
        <f>IF(LEN(A9)=0,"",IF(OR(N9&lt;&gt;"Ready",O9&gt;0),"",IF(I9="Cancelled",0,MAX(0,G9-J9))))</f>
      </c>
      <c r="L9" s="27" t="str">
        <f>IF(LEN(A9)=0,"",IF(OR(N9&lt;&gt;"Ready",O9&gt;0),"",K9*H9))</f>
      </c>
      <c r="M9" s="2" t="str">
        <f>IF(LEN(A9)=0,"",IF(N9&lt;&gt;"Ready","Check inputs",IF(O9&gt;0,"Check receipts",IF(J9&gt;G9,"Over-received",IF(I9="Cancelled","Cancelled",IF(K9=0,"Complete",IF(OR(NOT(ISNUMBER(Start!$F$5)),Start!$F$5&lt;1,Start!$F$5&gt;73415,MOD(Start!$F$5,1)&lt;&gt;0),"Set review date",IF(F9&lt;Start!$F$5,"Overdue",IF(F9=Start!$F$5,"Due today","Expected")))))))))</f>
      </c>
      <c r="N9" s="2" t="str">
        <f>IF(COUNTA(A9:I9)=0,"",IF(OR(LEN(A9)=0,LEN(B9)=0,LEN(C9)=0,LEN(D9)=0,COUNT(E9:H9)&lt;&gt;4,LEN(I9)=0),"Missing inputs",IF(SUMPRODUCT(--($A$7:$A$16=A9))&lt;&gt;1,"Duplicate PO line",IF(SUMPRODUCT(--('Products'!$A$7:$A$16=C9),--('Products'!$P$7:$P$16="Ready"))&lt;&gt;1,"Check SKU",IF(OR(E9&lt;1,E9&gt;73415,F9&lt;E9,F9&gt;73415,MOD(E9,1)&lt;&gt;0,MOD(F9,1)&lt;&gt;0),"Check dates",IF(OR(G9&lt;=0,G9&gt;1000000000,MOD(G9,1)&lt;&gt;0,H9&lt;0,H9&gt;1000000000),"Check numbers",IF(AND(I9&lt;&gt;"Open",I9&lt;&gt;"Cancelled"),"Choose order status","Ready")))))))</f>
      </c>
      <c r="O9" s="2" t="str">
        <f>IF(LEN(A9)=0,"",SUMPRODUCT(--('Transactions'!$J$7:$J$106=A9),--('Transactions'!$H$7:$H$106&lt;&gt;"Ready")))</f>
      </c>
      <c r="P9" t="str">
        <f>IF(N9&lt;&gt;"Ready","",SUMPRODUCT(--('Products'!$A$7:$A$16=C9),ROW('Products'!$A$7:$A$16))-6)</f>
      </c>
    </row>
    <row r="10" ht="23" customHeight="1">
      <c r="A10" s="65"/>
      <c r="B10" s="65"/>
      <c r="C10" s="65"/>
      <c r="D10" s="65"/>
      <c r="E10" s="63"/>
      <c r="F10" s="63"/>
      <c r="G10" s="66"/>
      <c r="H10" s="67"/>
      <c r="I10" s="65"/>
      <c r="J10" s="41" t="str">
        <f>IF(A10="","",IF(OR(N10&lt;&gt;"Ready",O10&gt;0,NOT(AND(ISNUMBER(Start!$F$5),Start!$F$5&gt;=1,Start!$F$5&lt;=73415,MOD(Start!$F$5,1)=0))),"",SUMPRODUCT(--('Transactions'!$J$7:$J$106=A10),--('Transactions'!$D$7:$D$106="IN"),--('Transactions'!$H$7:$H$106="Ready"),--('Transactions'!$B$7:$B$106&lt;=Start!$F$5),'Transactions'!$E$7:$E$106)))</f>
      </c>
      <c r="K10" s="41" t="str">
        <f>IF(LEN(A10)=0,"",IF(OR(N10&lt;&gt;"Ready",O10&gt;0),"",IF(I10="Cancelled",0,MAX(0,G10-J10))))</f>
      </c>
      <c r="L10" s="27" t="str">
        <f>IF(LEN(A10)=0,"",IF(OR(N10&lt;&gt;"Ready",O10&gt;0),"",K10*H10))</f>
      </c>
      <c r="M10" s="2" t="str">
        <f>IF(LEN(A10)=0,"",IF(N10&lt;&gt;"Ready","Check inputs",IF(O10&gt;0,"Check receipts",IF(J10&gt;G10,"Over-received",IF(I10="Cancelled","Cancelled",IF(K10=0,"Complete",IF(OR(NOT(ISNUMBER(Start!$F$5)),Start!$F$5&lt;1,Start!$F$5&gt;73415,MOD(Start!$F$5,1)&lt;&gt;0),"Set review date",IF(F10&lt;Start!$F$5,"Overdue",IF(F10=Start!$F$5,"Due today","Expected")))))))))</f>
      </c>
      <c r="N10" s="2" t="str">
        <f>IF(COUNTA(A10:I10)=0,"",IF(OR(LEN(A10)=0,LEN(B10)=0,LEN(C10)=0,LEN(D10)=0,COUNT(E10:H10)&lt;&gt;4,LEN(I10)=0),"Missing inputs",IF(SUMPRODUCT(--($A$7:$A$16=A10))&lt;&gt;1,"Duplicate PO line",IF(SUMPRODUCT(--('Products'!$A$7:$A$16=C10),--('Products'!$P$7:$P$16="Ready"))&lt;&gt;1,"Check SKU",IF(OR(E10&lt;1,E10&gt;73415,F10&lt;E10,F10&gt;73415,MOD(E10,1)&lt;&gt;0,MOD(F10,1)&lt;&gt;0),"Check dates",IF(OR(G10&lt;=0,G10&gt;1000000000,MOD(G10,1)&lt;&gt;0,H10&lt;0,H10&gt;1000000000),"Check numbers",IF(AND(I10&lt;&gt;"Open",I10&lt;&gt;"Cancelled"),"Choose order status","Ready")))))))</f>
      </c>
      <c r="O10" s="2" t="str">
        <f>IF(LEN(A10)=0,"",SUMPRODUCT(--('Transactions'!$J$7:$J$106=A10),--('Transactions'!$H$7:$H$106&lt;&gt;"Ready")))</f>
      </c>
      <c r="P10" t="str">
        <f>IF(N10&lt;&gt;"Ready","",SUMPRODUCT(--('Products'!$A$7:$A$16=C10),ROW('Products'!$A$7:$A$16))-6)</f>
      </c>
    </row>
    <row r="11" ht="23" customHeight="1">
      <c r="A11" s="65"/>
      <c r="B11" s="65"/>
      <c r="C11" s="65"/>
      <c r="D11" s="65"/>
      <c r="E11" s="63"/>
      <c r="F11" s="63"/>
      <c r="G11" s="66"/>
      <c r="H11" s="67"/>
      <c r="I11" s="65"/>
      <c r="J11" s="41" t="str">
        <f>IF(A11="","",IF(OR(N11&lt;&gt;"Ready",O11&gt;0,NOT(AND(ISNUMBER(Start!$F$5),Start!$F$5&gt;=1,Start!$F$5&lt;=73415,MOD(Start!$F$5,1)=0))),"",SUMPRODUCT(--('Transactions'!$J$7:$J$106=A11),--('Transactions'!$D$7:$D$106="IN"),--('Transactions'!$H$7:$H$106="Ready"),--('Transactions'!$B$7:$B$106&lt;=Start!$F$5),'Transactions'!$E$7:$E$106)))</f>
      </c>
      <c r="K11" s="41" t="str">
        <f>IF(LEN(A11)=0,"",IF(OR(N11&lt;&gt;"Ready",O11&gt;0),"",IF(I11="Cancelled",0,MAX(0,G11-J11))))</f>
      </c>
      <c r="L11" s="27" t="str">
        <f>IF(LEN(A11)=0,"",IF(OR(N11&lt;&gt;"Ready",O11&gt;0),"",K11*H11))</f>
      </c>
      <c r="M11" s="2" t="str">
        <f>IF(LEN(A11)=0,"",IF(N11&lt;&gt;"Ready","Check inputs",IF(O11&gt;0,"Check receipts",IF(J11&gt;G11,"Over-received",IF(I11="Cancelled","Cancelled",IF(K11=0,"Complete",IF(OR(NOT(ISNUMBER(Start!$F$5)),Start!$F$5&lt;1,Start!$F$5&gt;73415,MOD(Start!$F$5,1)&lt;&gt;0),"Set review date",IF(F11&lt;Start!$F$5,"Overdue",IF(F11=Start!$F$5,"Due today","Expected")))))))))</f>
      </c>
      <c r="N11" s="2" t="str">
        <f>IF(COUNTA(A11:I11)=0,"",IF(OR(LEN(A11)=0,LEN(B11)=0,LEN(C11)=0,LEN(D11)=0,COUNT(E11:H11)&lt;&gt;4,LEN(I11)=0),"Missing inputs",IF(SUMPRODUCT(--($A$7:$A$16=A11))&lt;&gt;1,"Duplicate PO line",IF(SUMPRODUCT(--('Products'!$A$7:$A$16=C11),--('Products'!$P$7:$P$16="Ready"))&lt;&gt;1,"Check SKU",IF(OR(E11&lt;1,E11&gt;73415,F11&lt;E11,F11&gt;73415,MOD(E11,1)&lt;&gt;0,MOD(F11,1)&lt;&gt;0),"Check dates",IF(OR(G11&lt;=0,G11&gt;1000000000,MOD(G11,1)&lt;&gt;0,H11&lt;0,H11&gt;1000000000),"Check numbers",IF(AND(I11&lt;&gt;"Open",I11&lt;&gt;"Cancelled"),"Choose order status","Ready")))))))</f>
      </c>
      <c r="O11" s="2" t="str">
        <f>IF(LEN(A11)=0,"",SUMPRODUCT(--('Transactions'!$J$7:$J$106=A11),--('Transactions'!$H$7:$H$106&lt;&gt;"Ready")))</f>
      </c>
      <c r="P11" t="str">
        <f>IF(N11&lt;&gt;"Ready","",SUMPRODUCT(--('Products'!$A$7:$A$16=C11),ROW('Products'!$A$7:$A$16))-6)</f>
      </c>
    </row>
    <row r="12" ht="23" customHeight="1">
      <c r="A12" s="65"/>
      <c r="B12" s="65"/>
      <c r="C12" s="65"/>
      <c r="D12" s="65"/>
      <c r="E12" s="63"/>
      <c r="F12" s="63"/>
      <c r="G12" s="66"/>
      <c r="H12" s="67"/>
      <c r="I12" s="65"/>
      <c r="J12" s="41" t="str">
        <f>IF(A12="","",IF(OR(N12&lt;&gt;"Ready",O12&gt;0,NOT(AND(ISNUMBER(Start!$F$5),Start!$F$5&gt;=1,Start!$F$5&lt;=73415,MOD(Start!$F$5,1)=0))),"",SUMPRODUCT(--('Transactions'!$J$7:$J$106=A12),--('Transactions'!$D$7:$D$106="IN"),--('Transactions'!$H$7:$H$106="Ready"),--('Transactions'!$B$7:$B$106&lt;=Start!$F$5),'Transactions'!$E$7:$E$106)))</f>
      </c>
      <c r="K12" s="41" t="str">
        <f>IF(LEN(A12)=0,"",IF(OR(N12&lt;&gt;"Ready",O12&gt;0),"",IF(I12="Cancelled",0,MAX(0,G12-J12))))</f>
      </c>
      <c r="L12" s="27" t="str">
        <f>IF(LEN(A12)=0,"",IF(OR(N12&lt;&gt;"Ready",O12&gt;0),"",K12*H12))</f>
      </c>
      <c r="M12" s="2" t="str">
        <f>IF(LEN(A12)=0,"",IF(N12&lt;&gt;"Ready","Check inputs",IF(O12&gt;0,"Check receipts",IF(J12&gt;G12,"Over-received",IF(I12="Cancelled","Cancelled",IF(K12=0,"Complete",IF(OR(NOT(ISNUMBER(Start!$F$5)),Start!$F$5&lt;1,Start!$F$5&gt;73415,MOD(Start!$F$5,1)&lt;&gt;0),"Set review date",IF(F12&lt;Start!$F$5,"Overdue",IF(F12=Start!$F$5,"Due today","Expected")))))))))</f>
      </c>
      <c r="N12" s="2" t="str">
        <f>IF(COUNTA(A12:I12)=0,"",IF(OR(LEN(A12)=0,LEN(B12)=0,LEN(C12)=0,LEN(D12)=0,COUNT(E12:H12)&lt;&gt;4,LEN(I12)=0),"Missing inputs",IF(SUMPRODUCT(--($A$7:$A$16=A12))&lt;&gt;1,"Duplicate PO line",IF(SUMPRODUCT(--('Products'!$A$7:$A$16=C12),--('Products'!$P$7:$P$16="Ready"))&lt;&gt;1,"Check SKU",IF(OR(E12&lt;1,E12&gt;73415,F12&lt;E12,F12&gt;73415,MOD(E12,1)&lt;&gt;0,MOD(F12,1)&lt;&gt;0),"Check dates",IF(OR(G12&lt;=0,G12&gt;1000000000,MOD(G12,1)&lt;&gt;0,H12&lt;0,H12&gt;1000000000),"Check numbers",IF(AND(I12&lt;&gt;"Open",I12&lt;&gt;"Cancelled"),"Choose order status","Ready")))))))</f>
      </c>
      <c r="O12" s="2" t="str">
        <f>IF(LEN(A12)=0,"",SUMPRODUCT(--('Transactions'!$J$7:$J$106=A12),--('Transactions'!$H$7:$H$106&lt;&gt;"Ready")))</f>
      </c>
      <c r="P12" t="str">
        <f>IF(N12&lt;&gt;"Ready","",SUMPRODUCT(--('Products'!$A$7:$A$16=C12),ROW('Products'!$A$7:$A$16))-6)</f>
      </c>
    </row>
    <row r="13" ht="23" customHeight="1">
      <c r="A13" s="65"/>
      <c r="B13" s="65"/>
      <c r="C13" s="65"/>
      <c r="D13" s="65"/>
      <c r="E13" s="63"/>
      <c r="F13" s="63"/>
      <c r="G13" s="66"/>
      <c r="H13" s="67"/>
      <c r="I13" s="65"/>
      <c r="J13" s="41" t="str">
        <f>IF(A13="","",IF(OR(N13&lt;&gt;"Ready",O13&gt;0,NOT(AND(ISNUMBER(Start!$F$5),Start!$F$5&gt;=1,Start!$F$5&lt;=73415,MOD(Start!$F$5,1)=0))),"",SUMPRODUCT(--('Transactions'!$J$7:$J$106=A13),--('Transactions'!$D$7:$D$106="IN"),--('Transactions'!$H$7:$H$106="Ready"),--('Transactions'!$B$7:$B$106&lt;=Start!$F$5),'Transactions'!$E$7:$E$106)))</f>
      </c>
      <c r="K13" s="41" t="str">
        <f>IF(LEN(A13)=0,"",IF(OR(N13&lt;&gt;"Ready",O13&gt;0),"",IF(I13="Cancelled",0,MAX(0,G13-J13))))</f>
      </c>
      <c r="L13" s="27" t="str">
        <f>IF(LEN(A13)=0,"",IF(OR(N13&lt;&gt;"Ready",O13&gt;0),"",K13*H13))</f>
      </c>
      <c r="M13" s="2" t="str">
        <f>IF(LEN(A13)=0,"",IF(N13&lt;&gt;"Ready","Check inputs",IF(O13&gt;0,"Check receipts",IF(J13&gt;G13,"Over-received",IF(I13="Cancelled","Cancelled",IF(K13=0,"Complete",IF(OR(NOT(ISNUMBER(Start!$F$5)),Start!$F$5&lt;1,Start!$F$5&gt;73415,MOD(Start!$F$5,1)&lt;&gt;0),"Set review date",IF(F13&lt;Start!$F$5,"Overdue",IF(F13=Start!$F$5,"Due today","Expected")))))))))</f>
      </c>
      <c r="N13" s="2" t="str">
        <f>IF(COUNTA(A13:I13)=0,"",IF(OR(LEN(A13)=0,LEN(B13)=0,LEN(C13)=0,LEN(D13)=0,COUNT(E13:H13)&lt;&gt;4,LEN(I13)=0),"Missing inputs",IF(SUMPRODUCT(--($A$7:$A$16=A13))&lt;&gt;1,"Duplicate PO line",IF(SUMPRODUCT(--('Products'!$A$7:$A$16=C13),--('Products'!$P$7:$P$16="Ready"))&lt;&gt;1,"Check SKU",IF(OR(E13&lt;1,E13&gt;73415,F13&lt;E13,F13&gt;73415,MOD(E13,1)&lt;&gt;0,MOD(F13,1)&lt;&gt;0),"Check dates",IF(OR(G13&lt;=0,G13&gt;1000000000,MOD(G13,1)&lt;&gt;0,H13&lt;0,H13&gt;1000000000),"Check numbers",IF(AND(I13&lt;&gt;"Open",I13&lt;&gt;"Cancelled"),"Choose order status","Ready")))))))</f>
      </c>
      <c r="O13" s="2" t="str">
        <f>IF(LEN(A13)=0,"",SUMPRODUCT(--('Transactions'!$J$7:$J$106=A13),--('Transactions'!$H$7:$H$106&lt;&gt;"Ready")))</f>
      </c>
      <c r="P13" t="str">
        <f>IF(N13&lt;&gt;"Ready","",SUMPRODUCT(--('Products'!$A$7:$A$16=C13),ROW('Products'!$A$7:$A$16))-6)</f>
      </c>
    </row>
    <row r="14" ht="23" customHeight="1">
      <c r="A14" s="65"/>
      <c r="B14" s="65"/>
      <c r="C14" s="65"/>
      <c r="D14" s="65"/>
      <c r="E14" s="63"/>
      <c r="F14" s="63"/>
      <c r="G14" s="66"/>
      <c r="H14" s="67"/>
      <c r="I14" s="65"/>
      <c r="J14" s="41" t="str">
        <f>IF(A14="","",IF(OR(N14&lt;&gt;"Ready",O14&gt;0,NOT(AND(ISNUMBER(Start!$F$5),Start!$F$5&gt;=1,Start!$F$5&lt;=73415,MOD(Start!$F$5,1)=0))),"",SUMPRODUCT(--('Transactions'!$J$7:$J$106=A14),--('Transactions'!$D$7:$D$106="IN"),--('Transactions'!$H$7:$H$106="Ready"),--('Transactions'!$B$7:$B$106&lt;=Start!$F$5),'Transactions'!$E$7:$E$106)))</f>
      </c>
      <c r="K14" s="41" t="str">
        <f>IF(LEN(A14)=0,"",IF(OR(N14&lt;&gt;"Ready",O14&gt;0),"",IF(I14="Cancelled",0,MAX(0,G14-J14))))</f>
      </c>
      <c r="L14" s="27" t="str">
        <f>IF(LEN(A14)=0,"",IF(OR(N14&lt;&gt;"Ready",O14&gt;0),"",K14*H14))</f>
      </c>
      <c r="M14" s="2" t="str">
        <f>IF(LEN(A14)=0,"",IF(N14&lt;&gt;"Ready","Check inputs",IF(O14&gt;0,"Check receipts",IF(J14&gt;G14,"Over-received",IF(I14="Cancelled","Cancelled",IF(K14=0,"Complete",IF(OR(NOT(ISNUMBER(Start!$F$5)),Start!$F$5&lt;1,Start!$F$5&gt;73415,MOD(Start!$F$5,1)&lt;&gt;0),"Set review date",IF(F14&lt;Start!$F$5,"Overdue",IF(F14=Start!$F$5,"Due today","Expected")))))))))</f>
      </c>
      <c r="N14" s="2" t="str">
        <f>IF(COUNTA(A14:I14)=0,"",IF(OR(LEN(A14)=0,LEN(B14)=0,LEN(C14)=0,LEN(D14)=0,COUNT(E14:H14)&lt;&gt;4,LEN(I14)=0),"Missing inputs",IF(SUMPRODUCT(--($A$7:$A$16=A14))&lt;&gt;1,"Duplicate PO line",IF(SUMPRODUCT(--('Products'!$A$7:$A$16=C14),--('Products'!$P$7:$P$16="Ready"))&lt;&gt;1,"Check SKU",IF(OR(E14&lt;1,E14&gt;73415,F14&lt;E14,F14&gt;73415,MOD(E14,1)&lt;&gt;0,MOD(F14,1)&lt;&gt;0),"Check dates",IF(OR(G14&lt;=0,G14&gt;1000000000,MOD(G14,1)&lt;&gt;0,H14&lt;0,H14&gt;1000000000),"Check numbers",IF(AND(I14&lt;&gt;"Open",I14&lt;&gt;"Cancelled"),"Choose order status","Ready")))))))</f>
      </c>
      <c r="O14" s="2" t="str">
        <f>IF(LEN(A14)=0,"",SUMPRODUCT(--('Transactions'!$J$7:$J$106=A14),--('Transactions'!$H$7:$H$106&lt;&gt;"Ready")))</f>
      </c>
      <c r="P14" t="str">
        <f>IF(N14&lt;&gt;"Ready","",SUMPRODUCT(--('Products'!$A$7:$A$16=C14),ROW('Products'!$A$7:$A$16))-6)</f>
      </c>
    </row>
    <row r="15" ht="23" customHeight="1">
      <c r="A15" s="65"/>
      <c r="B15" s="65"/>
      <c r="C15" s="65"/>
      <c r="D15" s="65"/>
      <c r="E15" s="63"/>
      <c r="F15" s="63"/>
      <c r="G15" s="66"/>
      <c r="H15" s="67"/>
      <c r="I15" s="65"/>
      <c r="J15" s="41" t="str">
        <f>IF(A15="","",IF(OR(N15&lt;&gt;"Ready",O15&gt;0,NOT(AND(ISNUMBER(Start!$F$5),Start!$F$5&gt;=1,Start!$F$5&lt;=73415,MOD(Start!$F$5,1)=0))),"",SUMPRODUCT(--('Transactions'!$J$7:$J$106=A15),--('Transactions'!$D$7:$D$106="IN"),--('Transactions'!$H$7:$H$106="Ready"),--('Transactions'!$B$7:$B$106&lt;=Start!$F$5),'Transactions'!$E$7:$E$106)))</f>
      </c>
      <c r="K15" s="41" t="str">
        <f>IF(LEN(A15)=0,"",IF(OR(N15&lt;&gt;"Ready",O15&gt;0),"",IF(I15="Cancelled",0,MAX(0,G15-J15))))</f>
      </c>
      <c r="L15" s="27" t="str">
        <f>IF(LEN(A15)=0,"",IF(OR(N15&lt;&gt;"Ready",O15&gt;0),"",K15*H15))</f>
      </c>
      <c r="M15" s="2" t="str">
        <f>IF(LEN(A15)=0,"",IF(N15&lt;&gt;"Ready","Check inputs",IF(O15&gt;0,"Check receipts",IF(J15&gt;G15,"Over-received",IF(I15="Cancelled","Cancelled",IF(K15=0,"Complete",IF(OR(NOT(ISNUMBER(Start!$F$5)),Start!$F$5&lt;1,Start!$F$5&gt;73415,MOD(Start!$F$5,1)&lt;&gt;0),"Set review date",IF(F15&lt;Start!$F$5,"Overdue",IF(F15=Start!$F$5,"Due today","Expected")))))))))</f>
      </c>
      <c r="N15" s="2" t="str">
        <f>IF(COUNTA(A15:I15)=0,"",IF(OR(LEN(A15)=0,LEN(B15)=0,LEN(C15)=0,LEN(D15)=0,COUNT(E15:H15)&lt;&gt;4,LEN(I15)=0),"Missing inputs",IF(SUMPRODUCT(--($A$7:$A$16=A15))&lt;&gt;1,"Duplicate PO line",IF(SUMPRODUCT(--('Products'!$A$7:$A$16=C15),--('Products'!$P$7:$P$16="Ready"))&lt;&gt;1,"Check SKU",IF(OR(E15&lt;1,E15&gt;73415,F15&lt;E15,F15&gt;73415,MOD(E15,1)&lt;&gt;0,MOD(F15,1)&lt;&gt;0),"Check dates",IF(OR(G15&lt;=0,G15&gt;1000000000,MOD(G15,1)&lt;&gt;0,H15&lt;0,H15&gt;1000000000),"Check numbers",IF(AND(I15&lt;&gt;"Open",I15&lt;&gt;"Cancelled"),"Choose order status","Ready")))))))</f>
      </c>
      <c r="O15" s="2" t="str">
        <f>IF(LEN(A15)=0,"",SUMPRODUCT(--('Transactions'!$J$7:$J$106=A15),--('Transactions'!$H$7:$H$106&lt;&gt;"Ready")))</f>
      </c>
      <c r="P15" t="str">
        <f>IF(N15&lt;&gt;"Ready","",SUMPRODUCT(--('Products'!$A$7:$A$16=C15),ROW('Products'!$A$7:$A$16))-6)</f>
      </c>
    </row>
    <row r="16" ht="23" customHeight="1">
      <c r="A16" s="65"/>
      <c r="B16" s="65"/>
      <c r="C16" s="65"/>
      <c r="D16" s="65"/>
      <c r="E16" s="63"/>
      <c r="F16" s="63"/>
      <c r="G16" s="66"/>
      <c r="H16" s="67"/>
      <c r="I16" s="65"/>
      <c r="J16" s="41" t="str">
        <f>IF(A16="","",IF(OR(N16&lt;&gt;"Ready",O16&gt;0,NOT(AND(ISNUMBER(Start!$F$5),Start!$F$5&gt;=1,Start!$F$5&lt;=73415,MOD(Start!$F$5,1)=0))),"",SUMPRODUCT(--('Transactions'!$J$7:$J$106=A16),--('Transactions'!$D$7:$D$106="IN"),--('Transactions'!$H$7:$H$106="Ready"),--('Transactions'!$B$7:$B$106&lt;=Start!$F$5),'Transactions'!$E$7:$E$106)))</f>
      </c>
      <c r="K16" s="41" t="str">
        <f>IF(LEN(A16)=0,"",IF(OR(N16&lt;&gt;"Ready",O16&gt;0),"",IF(I16="Cancelled",0,MAX(0,G16-J16))))</f>
      </c>
      <c r="L16" s="27" t="str">
        <f>IF(LEN(A16)=0,"",IF(OR(N16&lt;&gt;"Ready",O16&gt;0),"",K16*H16))</f>
      </c>
      <c r="M16" s="2" t="str">
        <f>IF(LEN(A16)=0,"",IF(N16&lt;&gt;"Ready","Check inputs",IF(O16&gt;0,"Check receipts",IF(J16&gt;G16,"Over-received",IF(I16="Cancelled","Cancelled",IF(K16=0,"Complete",IF(OR(NOT(ISNUMBER(Start!$F$5)),Start!$F$5&lt;1,Start!$F$5&gt;73415,MOD(Start!$F$5,1)&lt;&gt;0),"Set review date",IF(F16&lt;Start!$F$5,"Overdue",IF(F16=Start!$F$5,"Due today","Expected")))))))))</f>
      </c>
      <c r="N16" s="2" t="str">
        <f>IF(COUNTA(A16:I16)=0,"",IF(OR(LEN(A16)=0,LEN(B16)=0,LEN(C16)=0,LEN(D16)=0,COUNT(E16:H16)&lt;&gt;4,LEN(I16)=0),"Missing inputs",IF(SUMPRODUCT(--($A$7:$A$16=A16))&lt;&gt;1,"Duplicate PO line",IF(SUMPRODUCT(--('Products'!$A$7:$A$16=C16),--('Products'!$P$7:$P$16="Ready"))&lt;&gt;1,"Check SKU",IF(OR(E16&lt;1,E16&gt;73415,F16&lt;E16,F16&gt;73415,MOD(E16,1)&lt;&gt;0,MOD(F16,1)&lt;&gt;0),"Check dates",IF(OR(G16&lt;=0,G16&gt;1000000000,MOD(G16,1)&lt;&gt;0,H16&lt;0,H16&gt;1000000000),"Check numbers",IF(AND(I16&lt;&gt;"Open",I16&lt;&gt;"Cancelled"),"Choose order status","Ready")))))))</f>
      </c>
      <c r="O16" s="2" t="str">
        <f>IF(LEN(A16)=0,"",SUMPRODUCT(--('Transactions'!$J$7:$J$106=A16),--('Transactions'!$H$7:$H$106&lt;&gt;"Ready")))</f>
      </c>
      <c r="P16" t="str">
        <f>IF(N16&lt;&gt;"Ready","",SUMPRODUCT(--('Products'!$A$7:$A$16=C16),ROW('Products'!$A$7:$A$16))-6)</f>
      </c>
    </row>
  </sheetData>
  <sheetProtection sheet="1" objects="1" scenarios="1" autoFilter="0" sort="1" formatColumns="0" formatRows="0" selectLockedCells="0" selectUnlockedCells="0"/>
  <mergeCells>
    <mergeCell ref="A5:O5"/>
    <mergeCell ref="A3:O3"/>
  </mergeCells>
  <conditionalFormatting sqref="E7:F16">
    <cfRule type="expression" dxfId="53" priority="1">
      <formula>INDIRECT("Start!$F$7")="dd/mm/yyyy"</formula>
    </cfRule>
    <cfRule type="expression" dxfId="54" priority="2">
      <formula>INDIRECT("Start!$F$7")="mm/dd/yyyy"</formula>
    </cfRule>
    <cfRule type="expression" dxfId="55" priority="3">
      <formula>INDIRECT("Start!$F$7")="yyyy-mm-dd"</formula>
    </cfRule>
    <cfRule type="expression" dxfId="56" priority="4">
      <formula>INDIRECT("Start!$F$7")="dd.mm.yyyy"</formula>
    </cfRule>
    <cfRule type="expression" dxfId="57" priority="5">
      <formula>INDIRECT("Start!$F$7")="yyyy/mm/dd"</formula>
    </cfRule>
  </conditionalFormatting>
  <conditionalFormatting sqref="H7:H16">
    <cfRule type="expression" dxfId="58" priority="6">
      <formula>INDIRECT("Start!$C$7")="AUD"</formula>
    </cfRule>
    <cfRule type="expression" dxfId="59" priority="7">
      <formula>INDIRECT("Start!$C$7")="NZD"</formula>
    </cfRule>
    <cfRule type="expression" dxfId="60" priority="8">
      <formula>INDIRECT("Start!$C$7")="USD"</formula>
    </cfRule>
    <cfRule type="expression" dxfId="61" priority="9">
      <formula>INDIRECT("Start!$C$7")="GBP"</formula>
    </cfRule>
    <cfRule type="expression" dxfId="62" priority="10">
      <formula>INDIRECT("Start!$C$7")="CAD"</formula>
    </cfRule>
    <cfRule type="expression" dxfId="63" priority="11">
      <formula>INDIRECT("Start!$C$7")="CNY"</formula>
    </cfRule>
    <cfRule type="expression" dxfId="64" priority="12">
      <formula>INDIRECT("Start!$C$7")="SGD"</formula>
    </cfRule>
    <cfRule type="expression" dxfId="65" priority="13">
      <formula>INDIRECT("Start!$C$7")="EUR"</formula>
    </cfRule>
    <cfRule type="expression" dxfId="66" priority="14">
      <formula>INDIRECT("Start!$C$7")="JPY"</formula>
    </cfRule>
  </conditionalFormatting>
  <conditionalFormatting sqref="L7:L16">
    <cfRule type="expression" dxfId="67" priority="15">
      <formula>INDIRECT("Start!$C$7")="AUD"</formula>
    </cfRule>
    <cfRule type="expression" dxfId="68" priority="16">
      <formula>INDIRECT("Start!$C$7")="NZD"</formula>
    </cfRule>
    <cfRule type="expression" dxfId="69" priority="17">
      <formula>INDIRECT("Start!$C$7")="USD"</formula>
    </cfRule>
    <cfRule type="expression" dxfId="70" priority="18">
      <formula>INDIRECT("Start!$C$7")="GBP"</formula>
    </cfRule>
    <cfRule type="expression" dxfId="71" priority="19">
      <formula>INDIRECT("Start!$C$7")="CAD"</formula>
    </cfRule>
    <cfRule type="expression" dxfId="72" priority="20">
      <formula>INDIRECT("Start!$C$7")="CNY"</formula>
    </cfRule>
    <cfRule type="expression" dxfId="73" priority="21">
      <formula>INDIRECT("Start!$C$7")="SGD"</formula>
    </cfRule>
    <cfRule type="expression" dxfId="74" priority="22">
      <formula>INDIRECT("Start!$C$7")="EUR"</formula>
    </cfRule>
    <cfRule type="expression" dxfId="75" priority="23">
      <formula>INDIRECT("Start!$C$7")="JPY"</formula>
    </cfRule>
  </conditionalFormatting>
  <conditionalFormatting sqref="A7:O16">
    <cfRule type="expression" dxfId="76" priority="24">
      <formula>AND(COUNTA($A7:$I7)&gt;0,OR($N7&lt;&gt;"Ready",$O7&gt;0))</formula>
    </cfRule>
  </conditionalFormatting>
  <conditionalFormatting sqref="M7:M16">
    <cfRule type="expression" dxfId="77" priority="25">
      <formula>OR($M7="Overdue",$M7="Over-received",$M7="Set review date")</formula>
    </cfRule>
  </conditionalFormatting>
  <dataValidations count="4">
    <dataValidation type="list" sqref="I7:I16">
      <formula1>"Open,Cancelled"</formula1>
    </dataValidation>
    <dataValidation type="list" sqref="C7:C16">
      <formula1>INDIRECT("Products!$A$7:$A$16")</formula1>
    </dataValidation>
    <dataValidation type="whole" operator="between" sqref="G7:G16">
      <formula1>1</formula1>
      <formula2>1000000000</formula2>
    </dataValidation>
    <dataValidation type="decimal" operator="between" sqref="H7:H16">
      <formula1>0</formula1>
      <formula2>1000000000</formula2>
    </dataValidation>
  </dataValidations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6fc441c6dfb44bc7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6" topLeftCell="C7" activePane="bottomRight" state="frozen"/>
    </sheetView>
  </sheetViews>
  <sheetFormatPr defaultRowHeight="15"/>
  <cols>
    <col min="1" max="1" width="19" hidden="0" customWidth="1"/>
    <col min="2" max="2" width="33" hidden="0" customWidth="1"/>
    <col min="3" max="3" width="19" hidden="0" customWidth="1"/>
    <col min="4" max="4" width="12" hidden="0" customWidth="1"/>
    <col min="5" max="5" width="17" hidden="0" customWidth="1"/>
    <col min="6" max="6" width="18" hidden="0" customWidth="1"/>
    <col min="7" max="7" width="18" hidden="0" customWidth="1"/>
    <col min="8" max="8" width="16" hidden="0" customWidth="1"/>
    <col min="9" max="9" width="16" hidden="0" customWidth="1"/>
    <col min="10" max="10" width="17" hidden="0" customWidth="1"/>
    <col min="11" max="11" width="16" hidden="0" customWidth="1"/>
    <col min="12" max="12" width="16" hidden="0" customWidth="1"/>
    <col min="13" max="13" width="17" hidden="0" customWidth="1"/>
    <col min="14" max="14" width="26" hidden="0" customWidth="1"/>
    <col min="15" max="15" width="34" hidden="0" customWidth="1"/>
    <col min="16" max="16" width="25" hidden="0" customWidth="1"/>
    <col min="17" max="17" width="18" hidden="0" customWidth="1"/>
    <col min="18" max="18" width="23" hidden="0" customWidth="1"/>
    <col min="19" max="19" width="23" hidden="0" customWidth="1"/>
    <col min="20" max="20" width="23" hidden="0" customWidth="1"/>
    <col min="21" max="21" width="23" hidden="0" customWidth="1"/>
  </cols>
  <sheetData>
    <row r="1" ht="28" customHeight="1">
      <c r="A1" s="52" t="str">
        <v>Home</v>
      </c>
      <c r="B1" s="2"/>
      <c r="C1" s="2"/>
      <c r="D1" s="52" t="str">
        <v>Inventory</v>
      </c>
      <c r="E1" s="2"/>
      <c r="F1" s="2"/>
      <c r="G1" s="52" t="str">
        <v>Receive</v>
      </c>
      <c r="H1" s="2"/>
      <c r="I1" s="2"/>
      <c r="J1" s="52" t="str">
        <v>Reorder</v>
      </c>
      <c r="K1" s="2"/>
      <c r="L1" s="2"/>
      <c r="M1" s="2"/>
      <c r="N1" s="2"/>
      <c r="O1" s="2"/>
      <c r="P1" s="2"/>
      <c r="Q1" s="2"/>
    </row>
    <row r="2" ht="23" customHeight="1">
      <c r="A2" s="3" t="str">
        <v>Product setup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6" customHeight="1">
      <c r="A3" s="4" t="str">
        <v>10 SKUs. Start with A:F. Leave G blank to use observed OUT demand; a manual zero means zero demand. H:O and Q are optional planning controls.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23" customHeight="1">
      <c r="A4" s="5" t="str">
        <v>Rows used</v>
      </c>
      <c r="B4" s="5" t="n">
        <f>SUMPRODUCT(--(P7:P16&lt;&gt;""))</f>
        <v>2</v>
      </c>
      <c r="C4" s="5" t="str">
        <v>Remaining</v>
      </c>
      <c r="D4" s="5" t="n">
        <f>10-B4</f>
        <v>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"/>
    </row>
    <row r="5" ht="23" customHeight="1">
      <c r="A5" s="4" t="str">
        <f>"Region: "&amp;Start!$C$5&amp;"   Currency: "&amp;Start!$C$7&amp;"   Date: "&amp;Start!$F$7&amp;"   Display only; no currency conversion."</f>
        <v>Region: Australia   Currency: AUD   Date: dd/mm/yyyy   Display only; no currency conversion.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42" customHeight="1">
      <c r="A6" s="10" t="str">
        <v>SKU</v>
      </c>
      <c r="B6" s="10" t="str">
        <v>Product name</v>
      </c>
      <c r="C6" s="10" t="str">
        <v>Category</v>
      </c>
      <c r="D6" s="10" t="str">
        <v>Unit</v>
      </c>
      <c r="E6" s="10" t="str">
        <v>Opening qty</v>
      </c>
      <c r="F6" s="10" t="str">
        <v>Unit cost</v>
      </c>
      <c r="G6" s="10" t="str">
        <v>Manual daily demand</v>
      </c>
      <c r="H6" s="10" t="str">
        <v>Lead time (days)</v>
      </c>
      <c r="I6" s="10" t="str">
        <v>Safety days</v>
      </c>
      <c r="J6" s="10" t="str">
        <v>Review days</v>
      </c>
      <c r="K6" s="10" t="str">
        <v>Order multiple</v>
      </c>
      <c r="L6" s="10" t="str">
        <v>Other on-order qty</v>
      </c>
      <c r="M6" s="10" t="str">
        <v>Backorders</v>
      </c>
      <c r="N6" s="10" t="str">
        <v>Supplier</v>
      </c>
      <c r="O6" s="10" t="str">
        <v>Notes</v>
      </c>
      <c r="P6" s="10" t="str">
        <v>Input status</v>
      </c>
      <c r="Q6" s="10" t="str">
        <v>Minimum order qty</v>
      </c>
      <c r="R6" s="57" t="str">
        <v>Observed daily demand</v>
      </c>
      <c r="S6" s="57" t="str">
        <v>Active daily demand</v>
      </c>
      <c r="T6" s="57" t="str">
        <v>Demand source</v>
      </c>
      <c r="U6" s="57" t="str">
        <v>Valid OUT rows</v>
      </c>
    </row>
    <row r="7" ht="23" customHeight="1">
      <c r="A7" s="65" t="str">
        <v>SKU000123</v>
      </c>
      <c r="B7" s="65" t="str">
        <v>Synthetic spare part</v>
      </c>
      <c r="C7" s="65" t="str">
        <v>Parts</v>
      </c>
      <c r="D7" s="65" t="str">
        <v>EA</v>
      </c>
      <c r="E7" s="66" t="n">
        <v>5</v>
      </c>
      <c r="F7" s="67" t="n">
        <v>10</v>
      </c>
      <c r="G7" s="68" t="n">
        <v>10</v>
      </c>
      <c r="H7" s="66" t="n">
        <v>7</v>
      </c>
      <c r="I7" s="66" t="n">
        <v>7</v>
      </c>
      <c r="J7" s="66" t="n">
        <v>7</v>
      </c>
      <c r="K7" s="66" t="n">
        <v>10</v>
      </c>
      <c r="L7" s="66" t="n">
        <v>0</v>
      </c>
      <c r="M7" s="66" t="n">
        <v>0</v>
      </c>
      <c r="N7" s="65" t="str"/>
      <c r="O7" s="69" t="str"/>
      <c r="P7" s="6" t="str">
        <f>IF(LEN(A7)=0,IF(LEN(B7)=0,"","Enter SKU"),IF(SUMPRODUCT(--('Products'!$A$7:$A$16=A7))&lt;&gt;1,"Duplicate SKU",IF(OR(LEN(B7)=0,LEN(D7)=0,COUNT(E7:F7,H7:M7,Q7)&lt;&gt;9),"Missing inputs",IF(OR(MIN(E7:F7,H7:M7,Q7)&lt;0,MAX(E7:F7,H7:M7,Q7)&gt;1000000000,K7&lt;1,MOD(E7,1)&lt;&gt;0,MOD(H7,1)&lt;&gt;0,MOD(I7,1)&lt;&gt;0,MOD(J7,1)&lt;&gt;0,MOD(K7,1)&lt;&gt;0,MOD(L7,1)&lt;&gt;0,MOD(M7,1)&lt;&gt;0,MOD(Q7,1)&lt;&gt;0),"Check numbers",IF(AND(G7&lt;&gt;"",OR(NOT(ISNUMBER(G7)),G7&lt;0,G7&gt;1000000000)),"Check demand","Ready")))))</f>
        <v>Ready</v>
      </c>
      <c r="Q7" s="66" t="n">
        <v>0</v>
      </c>
      <c r="R7" s="54" t="n">
        <f>IF(OR(A7="",NOT(AND(ISNUMBER(Start!$F$5),Start!$F$5&gt;=1,Start!$F$5&lt;=73415,MOD(Start!$F$5,1)=0)),NOT(AND(ISNUMBER(Start!$C$11),Start!$C$11&gt;=1,Start!$C$11&lt;=3650,MOD(Start!$C$11,1)=0))),"",SUMPRODUCT(--('Transactions'!$K$7:$K$106=A7),--('Transactions'!$D$7:$D$106="OUT"),--('Transactions'!$H$7:$H$106="Ready"),--('Transactions'!$B$7:$B$106&gt;=MAX(1,Start!$F$5-Start!$C$11+1)),--('Transactions'!$B$7:$B$106&lt;=Start!$F$5),'Transactions'!$E$7:$E$106)/Start!$C$11)</f>
        <v>0</v>
      </c>
      <c r="S7" s="54" t="n">
        <f>IF(A7="","",IF(ISNUMBER(G7),G7,R7))</f>
        <v>10</v>
      </c>
      <c r="T7" t="str">
        <f>IF(A7="","",IF(ISNUMBER(G7),"Manual",IF(U7=0,"No OUT history","Observed OUT")))</f>
        <v>Manual</v>
      </c>
      <c r="U7" t="n">
        <f>IF(OR(A7="",NOT(AND(ISNUMBER(Start!$F$5),Start!$F$5&gt;=1,Start!$F$5&lt;=73415,MOD(Start!$F$5,1)=0)),NOT(AND(ISNUMBER(Start!$C$11),Start!$C$11&gt;=1,Start!$C$11&lt;=3650,MOD(Start!$C$11,1)=0))),"",SUMPRODUCT(--('Transactions'!$K$7:$K$106=A7),--('Transactions'!$D$7:$D$106="OUT"),--('Transactions'!$H$7:$H$106="Ready"),--('Transactions'!$B$7:$B$106&gt;=MAX(1,Start!$F$5-Start!$C$11+1)),--('Transactions'!$B$7:$B$106&lt;=Start!$F$5)))</f>
        <v>0</v>
      </c>
    </row>
    <row r="8" ht="23" customHeight="1">
      <c r="A8" s="65" t="str">
        <v>WILD*?~</v>
      </c>
      <c r="B8" s="65" t="str">
        <v>Synthetic fastener</v>
      </c>
      <c r="C8" s="65" t="str">
        <v>Parts</v>
      </c>
      <c r="D8" s="65" t="str">
        <v>EA</v>
      </c>
      <c r="E8" s="66" t="n">
        <v>200</v>
      </c>
      <c r="F8" s="67" t="n">
        <v>2</v>
      </c>
      <c r="G8" s="68"/>
      <c r="H8" s="66" t="n">
        <v>7</v>
      </c>
      <c r="I8" s="66" t="n">
        <v>7</v>
      </c>
      <c r="J8" s="66" t="n">
        <v>7</v>
      </c>
      <c r="K8" s="66" t="n">
        <v>1</v>
      </c>
      <c r="L8" s="66" t="n">
        <v>0</v>
      </c>
      <c r="M8" s="66" t="n">
        <v>0</v>
      </c>
      <c r="N8" s="65" t="str"/>
      <c r="O8" s="69" t="str"/>
      <c r="P8" s="6" t="str">
        <f>IF(LEN(A8)=0,IF(LEN(B8)=0,"","Enter SKU"),IF(SUMPRODUCT(--('Products'!$A$7:$A$16=A8))&lt;&gt;1,"Duplicate SKU",IF(OR(LEN(B8)=0,LEN(D8)=0,COUNT(E8:F8,H8:M8,Q8)&lt;&gt;9),"Missing inputs",IF(OR(MIN(E8:F8,H8:M8,Q8)&lt;0,MAX(E8:F8,H8:M8,Q8)&gt;1000000000,K8&lt;1,MOD(E8,1)&lt;&gt;0,MOD(H8,1)&lt;&gt;0,MOD(I8,1)&lt;&gt;0,MOD(J8,1)&lt;&gt;0,MOD(K8,1)&lt;&gt;0,MOD(L8,1)&lt;&gt;0,MOD(M8,1)&lt;&gt;0,MOD(Q8,1)&lt;&gt;0),"Check numbers",IF(AND(G8&lt;&gt;"",OR(NOT(ISNUMBER(G8)),G8&lt;0,G8&gt;1000000000)),"Check demand","Ready")))))</f>
        <v>Ready</v>
      </c>
      <c r="Q8" s="66" t="n">
        <v>0</v>
      </c>
      <c r="R8" s="54" t="n">
        <f>IF(OR(A8="",NOT(AND(ISNUMBER(Start!$F$5),Start!$F$5&gt;=1,Start!$F$5&lt;=73415,MOD(Start!$F$5,1)=0)),NOT(AND(ISNUMBER(Start!$C$11),Start!$C$11&gt;=1,Start!$C$11&lt;=3650,MOD(Start!$C$11,1)=0))),"",SUMPRODUCT(--('Transactions'!$K$7:$K$106=A8),--('Transactions'!$D$7:$D$106="OUT"),--('Transactions'!$H$7:$H$106="Ready"),--('Transactions'!$B$7:$B$106&gt;=MAX(1,Start!$F$5-Start!$C$11+1)),--('Transactions'!$B$7:$B$106&lt;=Start!$F$5),'Transactions'!$E$7:$E$106)/Start!$C$11)</f>
        <v>1</v>
      </c>
      <c r="S8" s="54" t="n">
        <f>IF(A8="","",IF(ISNUMBER(G8),G8,R8))</f>
        <v>1</v>
      </c>
      <c r="T8" t="str">
        <f>IF(A8="","",IF(ISNUMBER(G8),"Manual",IF(U8=0,"No OUT history","Observed OUT")))</f>
        <v>Observed OUT</v>
      </c>
      <c r="U8" t="n">
        <f>IF(OR(A8="",NOT(AND(ISNUMBER(Start!$F$5),Start!$F$5&gt;=1,Start!$F$5&lt;=73415,MOD(Start!$F$5,1)=0)),NOT(AND(ISNUMBER(Start!$C$11),Start!$C$11&gt;=1,Start!$C$11&lt;=3650,MOD(Start!$C$11,1)=0))),"",SUMPRODUCT(--('Transactions'!$K$7:$K$106=A8),--('Transactions'!$D$7:$D$106="OUT"),--('Transactions'!$H$7:$H$106="Ready"),--('Transactions'!$B$7:$B$106&gt;=MAX(1,Start!$F$5-Start!$C$11+1)),--('Transactions'!$B$7:$B$106&lt;=Start!$F$5)))</f>
        <v>1</v>
      </c>
    </row>
    <row r="9" ht="23" customHeight="1">
      <c r="A9" s="65" t="str"/>
      <c r="B9" s="65" t="str"/>
      <c r="C9" s="65" t="str"/>
      <c r="D9" s="65" t="str">
        <v>EA</v>
      </c>
      <c r="E9" s="66" t="n">
        <v>0</v>
      </c>
      <c r="F9" s="67" t="n">
        <v>0</v>
      </c>
      <c r="G9" s="68"/>
      <c r="H9" s="66" t="n">
        <v>7</v>
      </c>
      <c r="I9" s="66" t="n">
        <v>7</v>
      </c>
      <c r="J9" s="66" t="n">
        <v>7</v>
      </c>
      <c r="K9" s="66" t="n">
        <v>1</v>
      </c>
      <c r="L9" s="66" t="n">
        <v>0</v>
      </c>
      <c r="M9" s="66" t="n">
        <v>0</v>
      </c>
      <c r="N9" s="65" t="str"/>
      <c r="O9" s="69" t="str"/>
      <c r="P9" s="6" t="str">
        <f>IF(LEN(A9)=0,IF(LEN(B9)=0,"","Enter SKU"),IF(SUMPRODUCT(--('Products'!$A$7:$A$16=A9))&lt;&gt;1,"Duplicate SKU",IF(OR(LEN(B9)=0,LEN(D9)=0,COUNT(E9:F9,H9:M9,Q9)&lt;&gt;9),"Missing inputs",IF(OR(MIN(E9:F9,H9:M9,Q9)&lt;0,MAX(E9:F9,H9:M9,Q9)&gt;1000000000,K9&lt;1,MOD(E9,1)&lt;&gt;0,MOD(H9,1)&lt;&gt;0,MOD(I9,1)&lt;&gt;0,MOD(J9,1)&lt;&gt;0,MOD(K9,1)&lt;&gt;0,MOD(L9,1)&lt;&gt;0,MOD(M9,1)&lt;&gt;0,MOD(Q9,1)&lt;&gt;0),"Check numbers",IF(AND(G9&lt;&gt;"",OR(NOT(ISNUMBER(G9)),G9&lt;0,G9&gt;1000000000)),"Check demand","Ready")))))</f>
      </c>
      <c r="Q9" s="66" t="n">
        <v>0</v>
      </c>
      <c r="R9" s="54" t="str">
        <f>IF(OR(A9="",NOT(AND(ISNUMBER(Start!$F$5),Start!$F$5&gt;=1,Start!$F$5&lt;=73415,MOD(Start!$F$5,1)=0)),NOT(AND(ISNUMBER(Start!$C$11),Start!$C$11&gt;=1,Start!$C$11&lt;=3650,MOD(Start!$C$11,1)=0))),"",SUMPRODUCT(--('Transactions'!$K$7:$K$106=A9),--('Transactions'!$D$7:$D$106="OUT"),--('Transactions'!$H$7:$H$106="Ready"),--('Transactions'!$B$7:$B$106&gt;=MAX(1,Start!$F$5-Start!$C$11+1)),--('Transactions'!$B$7:$B$106&lt;=Start!$F$5),'Transactions'!$E$7:$E$106)/Start!$C$11)</f>
      </c>
      <c r="S9" s="54" t="str">
        <f>IF(A9="","",IF(ISNUMBER(G9),G9,R9))</f>
      </c>
      <c r="T9" t="str">
        <f>IF(A9="","",IF(ISNUMBER(G9),"Manual",IF(U9=0,"No OUT history","Observed OUT")))</f>
      </c>
      <c r="U9" t="str">
        <f>IF(OR(A9="",NOT(AND(ISNUMBER(Start!$F$5),Start!$F$5&gt;=1,Start!$F$5&lt;=73415,MOD(Start!$F$5,1)=0)),NOT(AND(ISNUMBER(Start!$C$11),Start!$C$11&gt;=1,Start!$C$11&lt;=3650,MOD(Start!$C$11,1)=0))),"",SUMPRODUCT(--('Transactions'!$K$7:$K$106=A9),--('Transactions'!$D$7:$D$106="OUT"),--('Transactions'!$H$7:$H$106="Ready"),--('Transactions'!$B$7:$B$106&gt;=MAX(1,Start!$F$5-Start!$C$11+1)),--('Transactions'!$B$7:$B$106&lt;=Start!$F$5)))</f>
      </c>
    </row>
    <row r="10" ht="23" customHeight="1">
      <c r="A10" s="65" t="str"/>
      <c r="B10" s="65" t="str"/>
      <c r="C10" s="65" t="str"/>
      <c r="D10" s="65" t="str">
        <v>EA</v>
      </c>
      <c r="E10" s="66" t="n">
        <v>0</v>
      </c>
      <c r="F10" s="67" t="n">
        <v>0</v>
      </c>
      <c r="G10" s="68"/>
      <c r="H10" s="66" t="n">
        <v>7</v>
      </c>
      <c r="I10" s="66" t="n">
        <v>7</v>
      </c>
      <c r="J10" s="66" t="n">
        <v>7</v>
      </c>
      <c r="K10" s="66" t="n">
        <v>1</v>
      </c>
      <c r="L10" s="66" t="n">
        <v>0</v>
      </c>
      <c r="M10" s="66" t="n">
        <v>0</v>
      </c>
      <c r="N10" s="65" t="str"/>
      <c r="O10" s="69" t="str"/>
      <c r="P10" s="6" t="str">
        <f>IF(LEN(A10)=0,IF(LEN(B10)=0,"","Enter SKU"),IF(SUMPRODUCT(--('Products'!$A$7:$A$16=A10))&lt;&gt;1,"Duplicate SKU",IF(OR(LEN(B10)=0,LEN(D10)=0,COUNT(E10:F10,H10:M10,Q10)&lt;&gt;9),"Missing inputs",IF(OR(MIN(E10:F10,H10:M10,Q10)&lt;0,MAX(E10:F10,H10:M10,Q10)&gt;1000000000,K10&lt;1,MOD(E10,1)&lt;&gt;0,MOD(H10,1)&lt;&gt;0,MOD(I10,1)&lt;&gt;0,MOD(J10,1)&lt;&gt;0,MOD(K10,1)&lt;&gt;0,MOD(L10,1)&lt;&gt;0,MOD(M10,1)&lt;&gt;0,MOD(Q10,1)&lt;&gt;0),"Check numbers",IF(AND(G10&lt;&gt;"",OR(NOT(ISNUMBER(G10)),G10&lt;0,G10&gt;1000000000)),"Check demand","Ready")))))</f>
      </c>
      <c r="Q10" s="66" t="n">
        <v>0</v>
      </c>
      <c r="R10" s="54" t="str">
        <f>IF(OR(A10="",NOT(AND(ISNUMBER(Start!$F$5),Start!$F$5&gt;=1,Start!$F$5&lt;=73415,MOD(Start!$F$5,1)=0)),NOT(AND(ISNUMBER(Start!$C$11),Start!$C$11&gt;=1,Start!$C$11&lt;=3650,MOD(Start!$C$11,1)=0))),"",SUMPRODUCT(--('Transactions'!$K$7:$K$106=A10),--('Transactions'!$D$7:$D$106="OUT"),--('Transactions'!$H$7:$H$106="Ready"),--('Transactions'!$B$7:$B$106&gt;=MAX(1,Start!$F$5-Start!$C$11+1)),--('Transactions'!$B$7:$B$106&lt;=Start!$F$5),'Transactions'!$E$7:$E$106)/Start!$C$11)</f>
      </c>
      <c r="S10" s="54" t="str">
        <f>IF(A10="","",IF(ISNUMBER(G10),G10,R10))</f>
      </c>
      <c r="T10" t="str">
        <f>IF(A10="","",IF(ISNUMBER(G10),"Manual",IF(U10=0,"No OUT history","Observed OUT")))</f>
      </c>
      <c r="U10" t="str">
        <f>IF(OR(A10="",NOT(AND(ISNUMBER(Start!$F$5),Start!$F$5&gt;=1,Start!$F$5&lt;=73415,MOD(Start!$F$5,1)=0)),NOT(AND(ISNUMBER(Start!$C$11),Start!$C$11&gt;=1,Start!$C$11&lt;=3650,MOD(Start!$C$11,1)=0))),"",SUMPRODUCT(--('Transactions'!$K$7:$K$106=A10),--('Transactions'!$D$7:$D$106="OUT"),--('Transactions'!$H$7:$H$106="Ready"),--('Transactions'!$B$7:$B$106&gt;=MAX(1,Start!$F$5-Start!$C$11+1)),--('Transactions'!$B$7:$B$106&lt;=Start!$F$5)))</f>
      </c>
    </row>
    <row r="11" ht="23" customHeight="1">
      <c r="A11" s="65" t="str"/>
      <c r="B11" s="65" t="str"/>
      <c r="C11" s="65" t="str"/>
      <c r="D11" s="65" t="str">
        <v>EA</v>
      </c>
      <c r="E11" s="66" t="n">
        <v>0</v>
      </c>
      <c r="F11" s="67" t="n">
        <v>0</v>
      </c>
      <c r="G11" s="68"/>
      <c r="H11" s="66" t="n">
        <v>7</v>
      </c>
      <c r="I11" s="66" t="n">
        <v>7</v>
      </c>
      <c r="J11" s="66" t="n">
        <v>7</v>
      </c>
      <c r="K11" s="66" t="n">
        <v>1</v>
      </c>
      <c r="L11" s="66" t="n">
        <v>0</v>
      </c>
      <c r="M11" s="66" t="n">
        <v>0</v>
      </c>
      <c r="N11" s="65" t="str"/>
      <c r="O11" s="69" t="str"/>
      <c r="P11" s="6" t="str">
        <f>IF(LEN(A11)=0,IF(LEN(B11)=0,"","Enter SKU"),IF(SUMPRODUCT(--('Products'!$A$7:$A$16=A11))&lt;&gt;1,"Duplicate SKU",IF(OR(LEN(B11)=0,LEN(D11)=0,COUNT(E11:F11,H11:M11,Q11)&lt;&gt;9),"Missing inputs",IF(OR(MIN(E11:F11,H11:M11,Q11)&lt;0,MAX(E11:F11,H11:M11,Q11)&gt;1000000000,K11&lt;1,MOD(E11,1)&lt;&gt;0,MOD(H11,1)&lt;&gt;0,MOD(I11,1)&lt;&gt;0,MOD(J11,1)&lt;&gt;0,MOD(K11,1)&lt;&gt;0,MOD(L11,1)&lt;&gt;0,MOD(M11,1)&lt;&gt;0,MOD(Q11,1)&lt;&gt;0),"Check numbers",IF(AND(G11&lt;&gt;"",OR(NOT(ISNUMBER(G11)),G11&lt;0,G11&gt;1000000000)),"Check demand","Ready")))))</f>
      </c>
      <c r="Q11" s="66" t="n">
        <v>0</v>
      </c>
      <c r="R11" s="54" t="str">
        <f>IF(OR(A11="",NOT(AND(ISNUMBER(Start!$F$5),Start!$F$5&gt;=1,Start!$F$5&lt;=73415,MOD(Start!$F$5,1)=0)),NOT(AND(ISNUMBER(Start!$C$11),Start!$C$11&gt;=1,Start!$C$11&lt;=3650,MOD(Start!$C$11,1)=0))),"",SUMPRODUCT(--('Transactions'!$K$7:$K$106=A11),--('Transactions'!$D$7:$D$106="OUT"),--('Transactions'!$H$7:$H$106="Ready"),--('Transactions'!$B$7:$B$106&gt;=MAX(1,Start!$F$5-Start!$C$11+1)),--('Transactions'!$B$7:$B$106&lt;=Start!$F$5),'Transactions'!$E$7:$E$106)/Start!$C$11)</f>
      </c>
      <c r="S11" s="54" t="str">
        <f>IF(A11="","",IF(ISNUMBER(G11),G11,R11))</f>
      </c>
      <c r="T11" t="str">
        <f>IF(A11="","",IF(ISNUMBER(G11),"Manual",IF(U11=0,"No OUT history","Observed OUT")))</f>
      </c>
      <c r="U11" t="str">
        <f>IF(OR(A11="",NOT(AND(ISNUMBER(Start!$F$5),Start!$F$5&gt;=1,Start!$F$5&lt;=73415,MOD(Start!$F$5,1)=0)),NOT(AND(ISNUMBER(Start!$C$11),Start!$C$11&gt;=1,Start!$C$11&lt;=3650,MOD(Start!$C$11,1)=0))),"",SUMPRODUCT(--('Transactions'!$K$7:$K$106=A11),--('Transactions'!$D$7:$D$106="OUT"),--('Transactions'!$H$7:$H$106="Ready"),--('Transactions'!$B$7:$B$106&gt;=MAX(1,Start!$F$5-Start!$C$11+1)),--('Transactions'!$B$7:$B$106&lt;=Start!$F$5)))</f>
      </c>
    </row>
    <row r="12" ht="23" customHeight="1">
      <c r="A12" s="65" t="str"/>
      <c r="B12" s="65" t="str"/>
      <c r="C12" s="65" t="str"/>
      <c r="D12" s="65" t="str">
        <v>EA</v>
      </c>
      <c r="E12" s="66" t="n">
        <v>0</v>
      </c>
      <c r="F12" s="67" t="n">
        <v>0</v>
      </c>
      <c r="G12" s="68"/>
      <c r="H12" s="66" t="n">
        <v>7</v>
      </c>
      <c r="I12" s="66" t="n">
        <v>7</v>
      </c>
      <c r="J12" s="66" t="n">
        <v>7</v>
      </c>
      <c r="K12" s="66" t="n">
        <v>1</v>
      </c>
      <c r="L12" s="66" t="n">
        <v>0</v>
      </c>
      <c r="M12" s="66" t="n">
        <v>0</v>
      </c>
      <c r="N12" s="65" t="str"/>
      <c r="O12" s="69" t="str"/>
      <c r="P12" s="6" t="str">
        <f>IF(LEN(A12)=0,IF(LEN(B12)=0,"","Enter SKU"),IF(SUMPRODUCT(--('Products'!$A$7:$A$16=A12))&lt;&gt;1,"Duplicate SKU",IF(OR(LEN(B12)=0,LEN(D12)=0,COUNT(E12:F12,H12:M12,Q12)&lt;&gt;9),"Missing inputs",IF(OR(MIN(E12:F12,H12:M12,Q12)&lt;0,MAX(E12:F12,H12:M12,Q12)&gt;1000000000,K12&lt;1,MOD(E12,1)&lt;&gt;0,MOD(H12,1)&lt;&gt;0,MOD(I12,1)&lt;&gt;0,MOD(J12,1)&lt;&gt;0,MOD(K12,1)&lt;&gt;0,MOD(L12,1)&lt;&gt;0,MOD(M12,1)&lt;&gt;0,MOD(Q12,1)&lt;&gt;0),"Check numbers",IF(AND(G12&lt;&gt;"",OR(NOT(ISNUMBER(G12)),G12&lt;0,G12&gt;1000000000)),"Check demand","Ready")))))</f>
      </c>
      <c r="Q12" s="66" t="n">
        <v>0</v>
      </c>
      <c r="R12" s="54" t="str">
        <f>IF(OR(A12="",NOT(AND(ISNUMBER(Start!$F$5),Start!$F$5&gt;=1,Start!$F$5&lt;=73415,MOD(Start!$F$5,1)=0)),NOT(AND(ISNUMBER(Start!$C$11),Start!$C$11&gt;=1,Start!$C$11&lt;=3650,MOD(Start!$C$11,1)=0))),"",SUMPRODUCT(--('Transactions'!$K$7:$K$106=A12),--('Transactions'!$D$7:$D$106="OUT"),--('Transactions'!$H$7:$H$106="Ready"),--('Transactions'!$B$7:$B$106&gt;=MAX(1,Start!$F$5-Start!$C$11+1)),--('Transactions'!$B$7:$B$106&lt;=Start!$F$5),'Transactions'!$E$7:$E$106)/Start!$C$11)</f>
      </c>
      <c r="S12" s="54" t="str">
        <f>IF(A12="","",IF(ISNUMBER(G12),G12,R12))</f>
      </c>
      <c r="T12" t="str">
        <f>IF(A12="","",IF(ISNUMBER(G12),"Manual",IF(U12=0,"No OUT history","Observed OUT")))</f>
      </c>
      <c r="U12" t="str">
        <f>IF(OR(A12="",NOT(AND(ISNUMBER(Start!$F$5),Start!$F$5&gt;=1,Start!$F$5&lt;=73415,MOD(Start!$F$5,1)=0)),NOT(AND(ISNUMBER(Start!$C$11),Start!$C$11&gt;=1,Start!$C$11&lt;=3650,MOD(Start!$C$11,1)=0))),"",SUMPRODUCT(--('Transactions'!$K$7:$K$106=A12),--('Transactions'!$D$7:$D$106="OUT"),--('Transactions'!$H$7:$H$106="Ready"),--('Transactions'!$B$7:$B$106&gt;=MAX(1,Start!$F$5-Start!$C$11+1)),--('Transactions'!$B$7:$B$106&lt;=Start!$F$5)))</f>
      </c>
    </row>
    <row r="13" ht="23" customHeight="1">
      <c r="A13" s="65" t="str"/>
      <c r="B13" s="65" t="str"/>
      <c r="C13" s="65" t="str"/>
      <c r="D13" s="65" t="str">
        <v>EA</v>
      </c>
      <c r="E13" s="66" t="n">
        <v>0</v>
      </c>
      <c r="F13" s="67" t="n">
        <v>0</v>
      </c>
      <c r="G13" s="68"/>
      <c r="H13" s="66" t="n">
        <v>7</v>
      </c>
      <c r="I13" s="66" t="n">
        <v>7</v>
      </c>
      <c r="J13" s="66" t="n">
        <v>7</v>
      </c>
      <c r="K13" s="66" t="n">
        <v>1</v>
      </c>
      <c r="L13" s="66" t="n">
        <v>0</v>
      </c>
      <c r="M13" s="66" t="n">
        <v>0</v>
      </c>
      <c r="N13" s="65" t="str"/>
      <c r="O13" s="69" t="str"/>
      <c r="P13" s="6" t="str">
        <f>IF(LEN(A13)=0,IF(LEN(B13)=0,"","Enter SKU"),IF(SUMPRODUCT(--('Products'!$A$7:$A$16=A13))&lt;&gt;1,"Duplicate SKU",IF(OR(LEN(B13)=0,LEN(D13)=0,COUNT(E13:F13,H13:M13,Q13)&lt;&gt;9),"Missing inputs",IF(OR(MIN(E13:F13,H13:M13,Q13)&lt;0,MAX(E13:F13,H13:M13,Q13)&gt;1000000000,K13&lt;1,MOD(E13,1)&lt;&gt;0,MOD(H13,1)&lt;&gt;0,MOD(I13,1)&lt;&gt;0,MOD(J13,1)&lt;&gt;0,MOD(K13,1)&lt;&gt;0,MOD(L13,1)&lt;&gt;0,MOD(M13,1)&lt;&gt;0,MOD(Q13,1)&lt;&gt;0),"Check numbers",IF(AND(G13&lt;&gt;"",OR(NOT(ISNUMBER(G13)),G13&lt;0,G13&gt;1000000000)),"Check demand","Ready")))))</f>
      </c>
      <c r="Q13" s="66" t="n">
        <v>0</v>
      </c>
      <c r="R13" s="54" t="str">
        <f>IF(OR(A13="",NOT(AND(ISNUMBER(Start!$F$5),Start!$F$5&gt;=1,Start!$F$5&lt;=73415,MOD(Start!$F$5,1)=0)),NOT(AND(ISNUMBER(Start!$C$11),Start!$C$11&gt;=1,Start!$C$11&lt;=3650,MOD(Start!$C$11,1)=0))),"",SUMPRODUCT(--('Transactions'!$K$7:$K$106=A13),--('Transactions'!$D$7:$D$106="OUT"),--('Transactions'!$H$7:$H$106="Ready"),--('Transactions'!$B$7:$B$106&gt;=MAX(1,Start!$F$5-Start!$C$11+1)),--('Transactions'!$B$7:$B$106&lt;=Start!$F$5),'Transactions'!$E$7:$E$106)/Start!$C$11)</f>
      </c>
      <c r="S13" s="54" t="str">
        <f>IF(A13="","",IF(ISNUMBER(G13),G13,R13))</f>
      </c>
      <c r="T13" t="str">
        <f>IF(A13="","",IF(ISNUMBER(G13),"Manual",IF(U13=0,"No OUT history","Observed OUT")))</f>
      </c>
      <c r="U13" t="str">
        <f>IF(OR(A13="",NOT(AND(ISNUMBER(Start!$F$5),Start!$F$5&gt;=1,Start!$F$5&lt;=73415,MOD(Start!$F$5,1)=0)),NOT(AND(ISNUMBER(Start!$C$11),Start!$C$11&gt;=1,Start!$C$11&lt;=3650,MOD(Start!$C$11,1)=0))),"",SUMPRODUCT(--('Transactions'!$K$7:$K$106=A13),--('Transactions'!$D$7:$D$106="OUT"),--('Transactions'!$H$7:$H$106="Ready"),--('Transactions'!$B$7:$B$106&gt;=MAX(1,Start!$F$5-Start!$C$11+1)),--('Transactions'!$B$7:$B$106&lt;=Start!$F$5)))</f>
      </c>
    </row>
    <row r="14" ht="23" customHeight="1">
      <c r="A14" s="65" t="str"/>
      <c r="B14" s="65" t="str"/>
      <c r="C14" s="65" t="str"/>
      <c r="D14" s="65" t="str">
        <v>EA</v>
      </c>
      <c r="E14" s="66" t="n">
        <v>0</v>
      </c>
      <c r="F14" s="67" t="n">
        <v>0</v>
      </c>
      <c r="G14" s="68"/>
      <c r="H14" s="66" t="n">
        <v>7</v>
      </c>
      <c r="I14" s="66" t="n">
        <v>7</v>
      </c>
      <c r="J14" s="66" t="n">
        <v>7</v>
      </c>
      <c r="K14" s="66" t="n">
        <v>1</v>
      </c>
      <c r="L14" s="66" t="n">
        <v>0</v>
      </c>
      <c r="M14" s="66" t="n">
        <v>0</v>
      </c>
      <c r="N14" s="65" t="str"/>
      <c r="O14" s="69" t="str"/>
      <c r="P14" s="6" t="str">
        <f>IF(LEN(A14)=0,IF(LEN(B14)=0,"","Enter SKU"),IF(SUMPRODUCT(--('Products'!$A$7:$A$16=A14))&lt;&gt;1,"Duplicate SKU",IF(OR(LEN(B14)=0,LEN(D14)=0,COUNT(E14:F14,H14:M14,Q14)&lt;&gt;9),"Missing inputs",IF(OR(MIN(E14:F14,H14:M14,Q14)&lt;0,MAX(E14:F14,H14:M14,Q14)&gt;1000000000,K14&lt;1,MOD(E14,1)&lt;&gt;0,MOD(H14,1)&lt;&gt;0,MOD(I14,1)&lt;&gt;0,MOD(J14,1)&lt;&gt;0,MOD(K14,1)&lt;&gt;0,MOD(L14,1)&lt;&gt;0,MOD(M14,1)&lt;&gt;0,MOD(Q14,1)&lt;&gt;0),"Check numbers",IF(AND(G14&lt;&gt;"",OR(NOT(ISNUMBER(G14)),G14&lt;0,G14&gt;1000000000)),"Check demand","Ready")))))</f>
      </c>
      <c r="Q14" s="66" t="n">
        <v>0</v>
      </c>
      <c r="R14" s="54" t="str">
        <f>IF(OR(A14="",NOT(AND(ISNUMBER(Start!$F$5),Start!$F$5&gt;=1,Start!$F$5&lt;=73415,MOD(Start!$F$5,1)=0)),NOT(AND(ISNUMBER(Start!$C$11),Start!$C$11&gt;=1,Start!$C$11&lt;=3650,MOD(Start!$C$11,1)=0))),"",SUMPRODUCT(--('Transactions'!$K$7:$K$106=A14),--('Transactions'!$D$7:$D$106="OUT"),--('Transactions'!$H$7:$H$106="Ready"),--('Transactions'!$B$7:$B$106&gt;=MAX(1,Start!$F$5-Start!$C$11+1)),--('Transactions'!$B$7:$B$106&lt;=Start!$F$5),'Transactions'!$E$7:$E$106)/Start!$C$11)</f>
      </c>
      <c r="S14" s="54" t="str">
        <f>IF(A14="","",IF(ISNUMBER(G14),G14,R14))</f>
      </c>
      <c r="T14" t="str">
        <f>IF(A14="","",IF(ISNUMBER(G14),"Manual",IF(U14=0,"No OUT history","Observed OUT")))</f>
      </c>
      <c r="U14" t="str">
        <f>IF(OR(A14="",NOT(AND(ISNUMBER(Start!$F$5),Start!$F$5&gt;=1,Start!$F$5&lt;=73415,MOD(Start!$F$5,1)=0)),NOT(AND(ISNUMBER(Start!$C$11),Start!$C$11&gt;=1,Start!$C$11&lt;=3650,MOD(Start!$C$11,1)=0))),"",SUMPRODUCT(--('Transactions'!$K$7:$K$106=A14),--('Transactions'!$D$7:$D$106="OUT"),--('Transactions'!$H$7:$H$106="Ready"),--('Transactions'!$B$7:$B$106&gt;=MAX(1,Start!$F$5-Start!$C$11+1)),--('Transactions'!$B$7:$B$106&lt;=Start!$F$5)))</f>
      </c>
    </row>
    <row r="15" ht="23" customHeight="1">
      <c r="A15" s="65" t="str"/>
      <c r="B15" s="65" t="str"/>
      <c r="C15" s="65" t="str"/>
      <c r="D15" s="65" t="str">
        <v>EA</v>
      </c>
      <c r="E15" s="66" t="n">
        <v>0</v>
      </c>
      <c r="F15" s="67" t="n">
        <v>0</v>
      </c>
      <c r="G15" s="68"/>
      <c r="H15" s="66" t="n">
        <v>7</v>
      </c>
      <c r="I15" s="66" t="n">
        <v>7</v>
      </c>
      <c r="J15" s="66" t="n">
        <v>7</v>
      </c>
      <c r="K15" s="66" t="n">
        <v>1</v>
      </c>
      <c r="L15" s="66" t="n">
        <v>0</v>
      </c>
      <c r="M15" s="66" t="n">
        <v>0</v>
      </c>
      <c r="N15" s="65" t="str"/>
      <c r="O15" s="69" t="str"/>
      <c r="P15" s="6" t="str">
        <f>IF(LEN(A15)=0,IF(LEN(B15)=0,"","Enter SKU"),IF(SUMPRODUCT(--('Products'!$A$7:$A$16=A15))&lt;&gt;1,"Duplicate SKU",IF(OR(LEN(B15)=0,LEN(D15)=0,COUNT(E15:F15,H15:M15,Q15)&lt;&gt;9),"Missing inputs",IF(OR(MIN(E15:F15,H15:M15,Q15)&lt;0,MAX(E15:F15,H15:M15,Q15)&gt;1000000000,K15&lt;1,MOD(E15,1)&lt;&gt;0,MOD(H15,1)&lt;&gt;0,MOD(I15,1)&lt;&gt;0,MOD(J15,1)&lt;&gt;0,MOD(K15,1)&lt;&gt;0,MOD(L15,1)&lt;&gt;0,MOD(M15,1)&lt;&gt;0,MOD(Q15,1)&lt;&gt;0),"Check numbers",IF(AND(G15&lt;&gt;"",OR(NOT(ISNUMBER(G15)),G15&lt;0,G15&gt;1000000000)),"Check demand","Ready")))))</f>
      </c>
      <c r="Q15" s="66" t="n">
        <v>0</v>
      </c>
      <c r="R15" s="54" t="str">
        <f>IF(OR(A15="",NOT(AND(ISNUMBER(Start!$F$5),Start!$F$5&gt;=1,Start!$F$5&lt;=73415,MOD(Start!$F$5,1)=0)),NOT(AND(ISNUMBER(Start!$C$11),Start!$C$11&gt;=1,Start!$C$11&lt;=3650,MOD(Start!$C$11,1)=0))),"",SUMPRODUCT(--('Transactions'!$K$7:$K$106=A15),--('Transactions'!$D$7:$D$106="OUT"),--('Transactions'!$H$7:$H$106="Ready"),--('Transactions'!$B$7:$B$106&gt;=MAX(1,Start!$F$5-Start!$C$11+1)),--('Transactions'!$B$7:$B$106&lt;=Start!$F$5),'Transactions'!$E$7:$E$106)/Start!$C$11)</f>
      </c>
      <c r="S15" s="54" t="str">
        <f>IF(A15="","",IF(ISNUMBER(G15),G15,R15))</f>
      </c>
      <c r="T15" t="str">
        <f>IF(A15="","",IF(ISNUMBER(G15),"Manual",IF(U15=0,"No OUT history","Observed OUT")))</f>
      </c>
      <c r="U15" t="str">
        <f>IF(OR(A15="",NOT(AND(ISNUMBER(Start!$F$5),Start!$F$5&gt;=1,Start!$F$5&lt;=73415,MOD(Start!$F$5,1)=0)),NOT(AND(ISNUMBER(Start!$C$11),Start!$C$11&gt;=1,Start!$C$11&lt;=3650,MOD(Start!$C$11,1)=0))),"",SUMPRODUCT(--('Transactions'!$K$7:$K$106=A15),--('Transactions'!$D$7:$D$106="OUT"),--('Transactions'!$H$7:$H$106="Ready"),--('Transactions'!$B$7:$B$106&gt;=MAX(1,Start!$F$5-Start!$C$11+1)),--('Transactions'!$B$7:$B$106&lt;=Start!$F$5)))</f>
      </c>
    </row>
    <row r="16" ht="23" customHeight="1">
      <c r="A16" s="65" t="str"/>
      <c r="B16" s="65" t="str"/>
      <c r="C16" s="65" t="str"/>
      <c r="D16" s="65" t="str">
        <v>EA</v>
      </c>
      <c r="E16" s="66" t="n">
        <v>0</v>
      </c>
      <c r="F16" s="67" t="n">
        <v>0</v>
      </c>
      <c r="G16" s="68"/>
      <c r="H16" s="66" t="n">
        <v>7</v>
      </c>
      <c r="I16" s="66" t="n">
        <v>7</v>
      </c>
      <c r="J16" s="66" t="n">
        <v>7</v>
      </c>
      <c r="K16" s="66" t="n">
        <v>1</v>
      </c>
      <c r="L16" s="66" t="n">
        <v>0</v>
      </c>
      <c r="M16" s="66" t="n">
        <v>0</v>
      </c>
      <c r="N16" s="65" t="str"/>
      <c r="O16" s="69" t="str"/>
      <c r="P16" s="6" t="str">
        <f>IF(LEN(A16)=0,IF(LEN(B16)=0,"","Enter SKU"),IF(SUMPRODUCT(--('Products'!$A$7:$A$16=A16))&lt;&gt;1,"Duplicate SKU",IF(OR(LEN(B16)=0,LEN(D16)=0,COUNT(E16:F16,H16:M16,Q16)&lt;&gt;9),"Missing inputs",IF(OR(MIN(E16:F16,H16:M16,Q16)&lt;0,MAX(E16:F16,H16:M16,Q16)&gt;1000000000,K16&lt;1,MOD(E16,1)&lt;&gt;0,MOD(H16,1)&lt;&gt;0,MOD(I16,1)&lt;&gt;0,MOD(J16,1)&lt;&gt;0,MOD(K16,1)&lt;&gt;0,MOD(L16,1)&lt;&gt;0,MOD(M16,1)&lt;&gt;0,MOD(Q16,1)&lt;&gt;0),"Check numbers",IF(AND(G16&lt;&gt;"",OR(NOT(ISNUMBER(G16)),G16&lt;0,G16&gt;1000000000)),"Check demand","Ready")))))</f>
      </c>
      <c r="Q16" s="66" t="n">
        <v>0</v>
      </c>
      <c r="R16" s="54" t="str">
        <f>IF(OR(A16="",NOT(AND(ISNUMBER(Start!$F$5),Start!$F$5&gt;=1,Start!$F$5&lt;=73415,MOD(Start!$F$5,1)=0)),NOT(AND(ISNUMBER(Start!$C$11),Start!$C$11&gt;=1,Start!$C$11&lt;=3650,MOD(Start!$C$11,1)=0))),"",SUMPRODUCT(--('Transactions'!$K$7:$K$106=A16),--('Transactions'!$D$7:$D$106="OUT"),--('Transactions'!$H$7:$H$106="Ready"),--('Transactions'!$B$7:$B$106&gt;=MAX(1,Start!$F$5-Start!$C$11+1)),--('Transactions'!$B$7:$B$106&lt;=Start!$F$5),'Transactions'!$E$7:$E$106)/Start!$C$11)</f>
      </c>
      <c r="S16" s="54" t="str">
        <f>IF(A16="","",IF(ISNUMBER(G16),G16,R16))</f>
      </c>
      <c r="T16" t="str">
        <f>IF(A16="","",IF(ISNUMBER(G16),"Manual",IF(U16=0,"No OUT history","Observed OUT")))</f>
      </c>
      <c r="U16" t="str">
        <f>IF(OR(A16="",NOT(AND(ISNUMBER(Start!$F$5),Start!$F$5&gt;=1,Start!$F$5&lt;=73415,MOD(Start!$F$5,1)=0)),NOT(AND(ISNUMBER(Start!$C$11),Start!$C$11&gt;=1,Start!$C$11&lt;=3650,MOD(Start!$C$11,1)=0))),"",SUMPRODUCT(--('Transactions'!$K$7:$K$106=A16),--('Transactions'!$D$7:$D$106="OUT"),--('Transactions'!$H$7:$H$106="Ready"),--('Transactions'!$B$7:$B$106&gt;=MAX(1,Start!$F$5-Start!$C$11+1)),--('Transactions'!$B$7:$B$106&lt;=Start!$F$5)))</f>
      </c>
    </row>
  </sheetData>
  <sheetProtection sheet="1" objects="1" scenarios="1" autoFilter="0" sort="1" formatColumns="0" formatRows="0" selectLockedCells="0" selectUnlockedCells="0"/>
  <mergeCells>
    <mergeCell ref="A5:Q5"/>
  </mergeCells>
  <conditionalFormatting sqref="A7:P16">
    <cfRule type="expression" dxfId="0" priority="1">
      <formula>AND($P7&lt;&gt;"",$P7&lt;&gt;"Ready")</formula>
    </cfRule>
  </conditionalFormatting>
  <conditionalFormatting sqref="F7:F16">
    <cfRule type="expression" dxfId="21" priority="2">
      <formula>INDIRECT("Start!$C$7")="AUD"</formula>
    </cfRule>
    <cfRule type="expression" dxfId="22" priority="3">
      <formula>INDIRECT("Start!$C$7")="NZD"</formula>
    </cfRule>
    <cfRule type="expression" dxfId="23" priority="4">
      <formula>INDIRECT("Start!$C$7")="USD"</formula>
    </cfRule>
    <cfRule type="expression" dxfId="24" priority="5">
      <formula>INDIRECT("Start!$C$7")="GBP"</formula>
    </cfRule>
    <cfRule type="expression" dxfId="25" priority="6">
      <formula>INDIRECT("Start!$C$7")="CAD"</formula>
    </cfRule>
    <cfRule type="expression" dxfId="26" priority="7">
      <formula>INDIRECT("Start!$C$7")="CNY"</formula>
    </cfRule>
    <cfRule type="expression" dxfId="27" priority="8">
      <formula>INDIRECT("Start!$C$7")="SGD"</formula>
    </cfRule>
    <cfRule type="expression" dxfId="28" priority="9">
      <formula>INDIRECT("Start!$C$7")="EUR"</formula>
    </cfRule>
    <cfRule type="expression" dxfId="29" priority="10">
      <formula>INDIRECT("Start!$C$7")="JPY"</formula>
    </cfRule>
  </conditionalFormatting>
  <dataValidations count="9">
    <dataValidation type="whole" operator="between" sqref="E7:E16">
      <formula1>0</formula1>
      <formula2>1000000000</formula2>
    </dataValidation>
    <dataValidation type="whole" operator="between" sqref="H7:H16">
      <formula1>0</formula1>
      <formula2>1000000000</formula2>
    </dataValidation>
    <dataValidation type="whole" operator="between" sqref="I7:I16">
      <formula1>0</formula1>
      <formula2>1000000000</formula2>
    </dataValidation>
    <dataValidation type="whole" operator="between" sqref="J7:J16">
      <formula1>0</formula1>
      <formula2>1000000000</formula2>
    </dataValidation>
    <dataValidation type="whole" operator="between" sqref="L7:L16">
      <formula1>0</formula1>
      <formula2>1000000000</formula2>
    </dataValidation>
    <dataValidation type="whole" operator="between" sqref="M7:M16">
      <formula1>0</formula1>
      <formula2>1000000000</formula2>
    </dataValidation>
    <dataValidation type="whole" operator="between" sqref="K7:K16">
      <formula1>1</formula1>
      <formula2>1000000000</formula2>
    </dataValidation>
    <dataValidation type="decimal" operator="between" sqref="F7:G16">
      <formula1>0</formula1>
      <formula2>1000000000</formula2>
    </dataValidation>
    <dataValidation type="whole" operator="between" sqref="Q7:Q16">
      <formula1>0</formula1>
      <formula2>1000000000</formula2>
    </dataValidation>
  </dataValidations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55c4aa364cb34876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6" topLeftCell="C7" activePane="bottomRight" state="frozen"/>
    </sheetView>
  </sheetViews>
  <sheetFormatPr defaultRowHeight="15"/>
  <cols>
    <col min="1" max="1" width="20" hidden="0" customWidth="1"/>
    <col min="2" max="2" width="16" hidden="0" customWidth="1"/>
    <col min="3" max="3" width="20" hidden="0" customWidth="1"/>
    <col min="4" max="4" width="18" hidden="0" customWidth="1"/>
    <col min="5" max="5" width="16" hidden="0" customWidth="1"/>
    <col min="6" max="6" width="23" hidden="0" customWidth="1"/>
    <col min="7" max="7" width="38" hidden="0" customWidth="1"/>
    <col min="8" max="8" width="26" hidden="0" customWidth="1"/>
    <col min="9" max="9" width="18" hidden="0" customWidth="1"/>
    <col min="10" max="10" width="22" hidden="0" customWidth="1"/>
    <col min="11" max="11" width="21" hidden="0" customWidth="1"/>
    <col min="12" max="13" hidden="1" width="12" customWidth="1"/>
  </cols>
  <sheetData>
    <row r="1" ht="28" customHeight="1">
      <c r="A1" s="52" t="str">
        <v>Home</v>
      </c>
      <c r="B1" s="2"/>
      <c r="C1" s="2"/>
      <c r="D1" s="52" t="str">
        <v>Inventory</v>
      </c>
      <c r="E1" s="2"/>
      <c r="F1" s="2"/>
      <c r="G1" s="52" t="str">
        <v>Receive</v>
      </c>
      <c r="H1" s="2"/>
      <c r="I1" s="2"/>
      <c r="J1" s="52" t="str">
        <v>Reorder</v>
      </c>
    </row>
    <row r="2" ht="23" customHeight="1">
      <c r="A2" s="3" t="str">
        <v>Stock movements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>
      <c r="A3" s="40" t="str">
        <v>100 movements. For receipts select IN and a PO line in J; SKU C can stay blank. H must say Ready. Future dates are excluded until the as-of date reaches them.</v>
      </c>
      <c r="B3" s="24"/>
      <c r="C3" s="24"/>
      <c r="D3" s="24"/>
      <c r="E3" s="24"/>
      <c r="F3" s="24"/>
      <c r="G3" s="24"/>
      <c r="H3" s="24"/>
      <c r="I3" s="24"/>
      <c r="J3" s="24"/>
    </row>
    <row r="4" ht="23" customHeight="1">
      <c r="A4" s="5" t="str">
        <v>Rows used</v>
      </c>
      <c r="B4" s="5" t="n">
        <f>SUMPRODUCT(--(H7:H106&lt;&gt;""))</f>
        <v>3</v>
      </c>
      <c r="C4" s="5" t="str">
        <v>Remaining</v>
      </c>
      <c r="D4" s="5" t="n">
        <f>100-B4</f>
        <v>97</v>
      </c>
      <c r="E4" s="5"/>
      <c r="F4" s="5"/>
      <c r="G4" s="5"/>
      <c r="H4" s="5"/>
      <c r="I4" s="5"/>
      <c r="J4" s="2"/>
    </row>
    <row r="5" ht="23" customHeight="1">
      <c r="A5" s="4" t="str">
        <f>"Region: "&amp;Start!$C$5&amp;"   Currency: "&amp;Start!$C$7&amp;"   Date: "&amp;Start!$F$7&amp;"   Display only; no currency conversion."</f>
        <v>Region: Australia   Currency: AUD   Date: dd/mm/yyyy   Display only; no currency conversion.</v>
      </c>
      <c r="B5" s="4"/>
      <c r="C5" s="4"/>
      <c r="D5" s="4"/>
      <c r="E5" s="4"/>
      <c r="F5" s="4"/>
      <c r="G5" s="4"/>
      <c r="H5" s="4"/>
      <c r="I5" s="4"/>
      <c r="J5" s="4"/>
    </row>
    <row r="6" ht="38" customHeight="1">
      <c r="A6" s="10" t="str">
        <v>Movement ID</v>
      </c>
      <c r="B6" s="10" t="str">
        <v>Date</v>
      </c>
      <c r="C6" s="10" t="str">
        <v>SKU (optional with PO)</v>
      </c>
      <c r="D6" s="10" t="str">
        <v>Movement</v>
      </c>
      <c r="E6" s="10" t="str">
        <v>Quantity</v>
      </c>
      <c r="F6" s="10" t="str">
        <v>Reference</v>
      </c>
      <c r="G6" s="10" t="str">
        <v>Notes</v>
      </c>
      <c r="H6" s="10" t="str">
        <v>Row status</v>
      </c>
      <c r="I6" s="10" t="str">
        <v>Signed qty</v>
      </c>
      <c r="J6" s="10" t="str">
        <v>PO line ID (optional)</v>
      </c>
      <c r="K6" t="str">
        <v>Effective SKU</v>
      </c>
      <c r="L6" t="str">
        <v>Query running count</v>
      </c>
      <c r="M6" t="str">
        <v>Query row</v>
      </c>
    </row>
    <row r="7" ht="23" customHeight="1">
      <c r="A7" s="65" t="str">
        <v>EXAMPLE-RCPT-001</v>
      </c>
      <c r="B7" s="63" t="d">
        <v>2026-10-18T00:00:00.000Z</v>
      </c>
      <c r="C7" s="65" t="str"/>
      <c r="D7" s="65" t="str">
        <v>IN</v>
      </c>
      <c r="E7" s="66" t="n">
        <v>10</v>
      </c>
      <c r="F7" s="65" t="str">
        <v>PO-EXAMPLE-001</v>
      </c>
      <c r="G7" s="65" t="str">
        <v>Synthetic partial receipt</v>
      </c>
      <c r="H7" s="6" t="str">
        <f>IF(COUNTA(A7:G7,J7)=0,"",IF(OR(A7="",B7="",K7="",D7="",COUNT(E7)&lt;&gt;1),"Missing inputs",IF(SUMPRODUCT(--('Transactions'!$A$7:$A$106=A7))&lt;&gt;1,"Duplicate ID",IF(SUMPRODUCT(--('Products'!$A$7:$A$16=K7),--('Products'!$P$7:$P$16="Ready"))&lt;&gt;1,"Check SKU",IF(OR(NOT(ISNUMBER(B7)),B7&lt;1,B7&gt;73415,MOD(B7,1)&lt;&gt;0),"Check date",IF(OR(E7&lt;=0,E7&gt;1000000000,MOD(E7,1)&lt;&gt;0),"Check quantity",IF(AND(D7&lt;&gt;"IN",D7&lt;&gt;"OUT",D7&lt;&gt;"ADJUST+",D7&lt;&gt;"ADJUST-"),"Check movement",IF(J7="","Ready",IF(D7&lt;&gt;"IN","PO link needs IN",IF(AND(C7&lt;&gt;"",C7&lt;&gt;K7),"PO / SKU mismatch",IF(SUMPRODUCT(--('PurchaseOrders'!$A$7:$A$16=J7),--('PurchaseOrders'!$N$7:$N$16="Ready"))&lt;&gt;1,"Check PO link","Ready")))))))))))</f>
        <v>Ready</v>
      </c>
      <c r="I7" s="17" t="n">
        <f>IF(H7&lt;&gt;"Ready","",IF(OR(D7="IN",D7="ADJUST+"),E7,-E7))</f>
        <v>10</v>
      </c>
      <c r="J7" s="65" t="str">
        <v>POL-001</v>
      </c>
      <c r="K7" t="str">
        <f>IF(COUNTA(A7:G7,J7)=0,"",IF(J7="",C7,IFERROR(INDEX('PurchaseOrders'!$C$7:$C$16,SUMPRODUCT(--('PurchaseOrders'!$A$7:$A$16=J7),ROW('PurchaseOrders'!$A$7:$A$16))-6),"")))</f>
        <v>SKU000123</v>
      </c>
      <c r="L7" t="n">
        <f>0+IF(AND(K7=SKUHistory!$C$4,H7="Ready",SKUHistory!$C$4&lt;&gt;"",ISNUMBER(SKUHistory!$F$4),ISNUMBER(SKUHistory!$I$4),B7&gt;=SKUHistory!$F$4,B7&lt;=SKUHistory!$I$4),1,0)</f>
        <v>1</v>
      </c>
      <c r="M7" t="n">
        <f>IF(AND(K7=SKUHistory!$C$4,H7="Ready",SKUHistory!$C$4&lt;&gt;"",ISNUMBER(SKUHistory!$F$4),ISNUMBER(SKUHistory!$I$4),B7&gt;=SKUHistory!$F$4,B7&lt;=SKUHistory!$I$4),L7,"")</f>
        <v>1</v>
      </c>
    </row>
    <row r="8" ht="23" customHeight="1">
      <c r="A8" s="65" t="str">
        <v>EXAMPLE-OUT-001</v>
      </c>
      <c r="B8" s="63" t="d">
        <v>2026-10-17T00:00:00.000Z</v>
      </c>
      <c r="C8" s="65" t="str">
        <v>WILD*?~</v>
      </c>
      <c r="D8" s="65" t="str">
        <v>OUT</v>
      </c>
      <c r="E8" s="66" t="n">
        <v>90</v>
      </c>
      <c r="F8" s="65" t="str">
        <v>EXAMPLE-SALE</v>
      </c>
      <c r="G8" s="65" t="str">
        <v>Synthetic observed demand</v>
      </c>
      <c r="H8" s="6" t="str">
        <f>IF(COUNTA(A8:G8,J8)=0,"",IF(OR(A8="",B8="",K8="",D8="",COUNT(E8)&lt;&gt;1),"Missing inputs",IF(SUMPRODUCT(--('Transactions'!$A$7:$A$106=A8))&lt;&gt;1,"Duplicate ID",IF(SUMPRODUCT(--('Products'!$A$7:$A$16=K8),--('Products'!$P$7:$P$16="Ready"))&lt;&gt;1,"Check SKU",IF(OR(NOT(ISNUMBER(B8)),B8&lt;1,B8&gt;73415,MOD(B8,1)&lt;&gt;0),"Check date",IF(OR(E8&lt;=0,E8&gt;1000000000,MOD(E8,1)&lt;&gt;0),"Check quantity",IF(AND(D8&lt;&gt;"IN",D8&lt;&gt;"OUT",D8&lt;&gt;"ADJUST+",D8&lt;&gt;"ADJUST-"),"Check movement",IF(J8="","Ready",IF(D8&lt;&gt;"IN","PO link needs IN",IF(AND(C8&lt;&gt;"",C8&lt;&gt;K8),"PO / SKU mismatch",IF(SUMPRODUCT(--('PurchaseOrders'!$A$7:$A$16=J8),--('PurchaseOrders'!$N$7:$N$16="Ready"))&lt;&gt;1,"Check PO link","Ready")))))))))))</f>
        <v>Ready</v>
      </c>
      <c r="I8" s="17" t="n">
        <f>IF(H8&lt;&gt;"Ready","",IF(OR(D8="IN",D8="ADJUST+"),E8,-E8))</f>
        <v>-90</v>
      </c>
      <c r="J8" s="65"/>
      <c r="K8" t="str">
        <f>IF(COUNTA(A8:G8,J8)=0,"",IF(J8="",C8,IFERROR(INDEX('PurchaseOrders'!$C$7:$C$16,SUMPRODUCT(--('PurchaseOrders'!$A$7:$A$16=J8),ROW('PurchaseOrders'!$A$7:$A$16))-6),"")))</f>
        <v>WILD*?~</v>
      </c>
      <c r="L8" t="n">
        <f>L7+IF(AND(K8=SKUHistory!$C$4,H8="Ready",SKUHistory!$C$4&lt;&gt;"",ISNUMBER(SKUHistory!$F$4),ISNUMBER(SKUHistory!$I$4),B8&gt;=SKUHistory!$F$4,B8&lt;=SKUHistory!$I$4),1,0)</f>
        <v>1</v>
      </c>
      <c r="M8" t="str">
        <f>IF(AND(K8=SKUHistory!$C$4,H8="Ready",SKUHistory!$C$4&lt;&gt;"",ISNUMBER(SKUHistory!$F$4),ISNUMBER(SKUHistory!$I$4),B8&gt;=SKUHistory!$F$4,B8&lt;=SKUHistory!$I$4),L8,"")</f>
      </c>
    </row>
    <row r="9" ht="23" customHeight="1">
      <c r="A9" s="65" t="str">
        <v>COUNT-EXAMPLE-COUNT-01-SKU000123</v>
      </c>
      <c r="B9" s="63" t="n">
        <v>46313</v>
      </c>
      <c r="C9" s="65" t="str">
        <v>SKU000123</v>
      </c>
      <c r="D9" s="65" t="str">
        <v>ADJUST-</v>
      </c>
      <c r="E9" s="66" t="n">
        <v>2</v>
      </c>
      <c r="F9" s="65" t="str">
        <v>EXAMPLE-COUNT-01</v>
      </c>
      <c r="G9" s="65" t="str">
        <v>Approved count adjustment</v>
      </c>
      <c r="H9" s="6" t="str">
        <f>IF(COUNTA(A9:G9,J9)=0,"",IF(OR(A9="",B9="",K9="",D9="",COUNT(E9)&lt;&gt;1),"Missing inputs",IF(SUMPRODUCT(--('Transactions'!$A$7:$A$106=A9))&lt;&gt;1,"Duplicate ID",IF(SUMPRODUCT(--('Products'!$A$7:$A$16=K9),--('Products'!$P$7:$P$16="Ready"))&lt;&gt;1,"Check SKU",IF(OR(NOT(ISNUMBER(B9)),B9&lt;1,B9&gt;73415,MOD(B9,1)&lt;&gt;0),"Check date",IF(OR(E9&lt;=0,E9&gt;1000000000,MOD(E9,1)&lt;&gt;0),"Check quantity",IF(AND(D9&lt;&gt;"IN",D9&lt;&gt;"OUT",D9&lt;&gt;"ADJUST+",D9&lt;&gt;"ADJUST-"),"Check movement",IF(J9="","Ready",IF(D9&lt;&gt;"IN","PO link needs IN",IF(AND(C9&lt;&gt;"",C9&lt;&gt;K9),"PO / SKU mismatch",IF(SUMPRODUCT(--('PurchaseOrders'!$A$7:$A$16=J9),--('PurchaseOrders'!$N$7:$N$16="Ready"))&lt;&gt;1,"Check PO link","Ready")))))))))))</f>
        <v>Ready</v>
      </c>
      <c r="I9" s="17" t="n">
        <f>IF(H9&lt;&gt;"Ready","",IF(OR(D9="IN",D9="ADJUST+"),E9,-E9))</f>
        <v>-2</v>
      </c>
      <c r="J9" s="65"/>
      <c r="K9" t="str">
        <f>IF(COUNTA(A9:G9,J9)=0,"",IF(J9="",C9,IFERROR(INDEX('PurchaseOrders'!$C$7:$C$16,SUMPRODUCT(--('PurchaseOrders'!$A$7:$A$16=J9),ROW('PurchaseOrders'!$A$7:$A$16))-6),"")))</f>
        <v>SKU000123</v>
      </c>
      <c r="L9" t="n">
        <f>L8+IF(AND(K9=SKUHistory!$C$4,H9="Ready",SKUHistory!$C$4&lt;&gt;"",ISNUMBER(SKUHistory!$F$4),ISNUMBER(SKUHistory!$I$4),B9&gt;=SKUHistory!$F$4,B9&lt;=SKUHistory!$I$4),1,0)</f>
        <v>2</v>
      </c>
      <c r="M9" t="n">
        <f>IF(AND(K9=SKUHistory!$C$4,H9="Ready",SKUHistory!$C$4&lt;&gt;"",ISNUMBER(SKUHistory!$F$4),ISNUMBER(SKUHistory!$I$4),B9&gt;=SKUHistory!$F$4,B9&lt;=SKUHistory!$I$4),L9,"")</f>
        <v>2</v>
      </c>
    </row>
    <row r="10" ht="23" customHeight="1">
      <c r="A10" s="65"/>
      <c r="B10" s="63"/>
      <c r="C10" s="65"/>
      <c r="D10" s="65"/>
      <c r="E10" s="66"/>
      <c r="F10" s="65"/>
      <c r="G10" s="65"/>
      <c r="H10" s="6" t="str">
        <f>IF(COUNTA(A10:G10,J10)=0,"",IF(OR(A10="",B10="",K10="",D10="",COUNT(E10)&lt;&gt;1),"Missing inputs",IF(SUMPRODUCT(--('Transactions'!$A$7:$A$106=A10))&lt;&gt;1,"Duplicate ID",IF(SUMPRODUCT(--('Products'!$A$7:$A$16=K10),--('Products'!$P$7:$P$16="Ready"))&lt;&gt;1,"Check SKU",IF(OR(NOT(ISNUMBER(B10)),B10&lt;1,B10&gt;73415,MOD(B10,1)&lt;&gt;0),"Check date",IF(OR(E10&lt;=0,E10&gt;1000000000,MOD(E10,1)&lt;&gt;0),"Check quantity",IF(AND(D10&lt;&gt;"IN",D10&lt;&gt;"OUT",D10&lt;&gt;"ADJUST+",D10&lt;&gt;"ADJUST-"),"Check movement",IF(J10="","Ready",IF(D10&lt;&gt;"IN","PO link needs IN",IF(AND(C10&lt;&gt;"",C10&lt;&gt;K10),"PO / SKU mismatch",IF(SUMPRODUCT(--('PurchaseOrders'!$A$7:$A$16=J10),--('PurchaseOrders'!$N$7:$N$16="Ready"))&lt;&gt;1,"Check PO link","Ready")))))))))))</f>
      </c>
      <c r="I10" s="17" t="str">
        <f>IF(H10&lt;&gt;"Ready","",IF(OR(D10="IN",D10="ADJUST+"),E10,-E10))</f>
      </c>
      <c r="J10" s="65"/>
      <c r="K10" t="str">
        <f>IF(COUNTA(A10:G10,J10)=0,"",IF(J10="",C10,IFERROR(INDEX('PurchaseOrders'!$C$7:$C$16,SUMPRODUCT(--('PurchaseOrders'!$A$7:$A$16=J10),ROW('PurchaseOrders'!$A$7:$A$16))-6),"")))</f>
      </c>
      <c r="L10" t="n">
        <f>L9+IF(AND(K10=SKUHistory!$C$4,H10="Ready",SKUHistory!$C$4&lt;&gt;"",ISNUMBER(SKUHistory!$F$4),ISNUMBER(SKUHistory!$I$4),B10&gt;=SKUHistory!$F$4,B10&lt;=SKUHistory!$I$4),1,0)</f>
        <v>2</v>
      </c>
      <c r="M10" t="str">
        <f>IF(AND(K10=SKUHistory!$C$4,H10="Ready",SKUHistory!$C$4&lt;&gt;"",ISNUMBER(SKUHistory!$F$4),ISNUMBER(SKUHistory!$I$4),B10&gt;=SKUHistory!$F$4,B10&lt;=SKUHistory!$I$4),L10,"")</f>
      </c>
    </row>
    <row r="11" ht="23" customHeight="1">
      <c r="A11" s="65"/>
      <c r="B11" s="63"/>
      <c r="C11" s="65"/>
      <c r="D11" s="65"/>
      <c r="E11" s="66"/>
      <c r="F11" s="65"/>
      <c r="G11" s="65"/>
      <c r="H11" s="6" t="str">
        <f>IF(COUNTA(A11:G11,J11)=0,"",IF(OR(A11="",B11="",K11="",D11="",COUNT(E11)&lt;&gt;1),"Missing inputs",IF(SUMPRODUCT(--('Transactions'!$A$7:$A$106=A11))&lt;&gt;1,"Duplicate ID",IF(SUMPRODUCT(--('Products'!$A$7:$A$16=K11),--('Products'!$P$7:$P$16="Ready"))&lt;&gt;1,"Check SKU",IF(OR(NOT(ISNUMBER(B11)),B11&lt;1,B11&gt;73415,MOD(B11,1)&lt;&gt;0),"Check date",IF(OR(E11&lt;=0,E11&gt;1000000000,MOD(E11,1)&lt;&gt;0),"Check quantity",IF(AND(D11&lt;&gt;"IN",D11&lt;&gt;"OUT",D11&lt;&gt;"ADJUST+",D11&lt;&gt;"ADJUST-"),"Check movement",IF(J11="","Ready",IF(D11&lt;&gt;"IN","PO link needs IN",IF(AND(C11&lt;&gt;"",C11&lt;&gt;K11),"PO / SKU mismatch",IF(SUMPRODUCT(--('PurchaseOrders'!$A$7:$A$16=J11),--('PurchaseOrders'!$N$7:$N$16="Ready"))&lt;&gt;1,"Check PO link","Ready")))))))))))</f>
      </c>
      <c r="I11" s="17" t="str">
        <f>IF(H11&lt;&gt;"Ready","",IF(OR(D11="IN",D11="ADJUST+"),E11,-E11))</f>
      </c>
      <c r="J11" s="65"/>
      <c r="K11" t="str">
        <f>IF(COUNTA(A11:G11,J11)=0,"",IF(J11="",C11,IFERROR(INDEX('PurchaseOrders'!$C$7:$C$16,SUMPRODUCT(--('PurchaseOrders'!$A$7:$A$16=J11),ROW('PurchaseOrders'!$A$7:$A$16))-6),"")))</f>
      </c>
      <c r="L11" t="n">
        <f>L10+IF(AND(K11=SKUHistory!$C$4,H11="Ready",SKUHistory!$C$4&lt;&gt;"",ISNUMBER(SKUHistory!$F$4),ISNUMBER(SKUHistory!$I$4),B11&gt;=SKUHistory!$F$4,B11&lt;=SKUHistory!$I$4),1,0)</f>
        <v>2</v>
      </c>
      <c r="M11" t="str">
        <f>IF(AND(K11=SKUHistory!$C$4,H11="Ready",SKUHistory!$C$4&lt;&gt;"",ISNUMBER(SKUHistory!$F$4),ISNUMBER(SKUHistory!$I$4),B11&gt;=SKUHistory!$F$4,B11&lt;=SKUHistory!$I$4),L11,"")</f>
      </c>
    </row>
    <row r="12" ht="23" customHeight="1">
      <c r="A12" s="65"/>
      <c r="B12" s="63"/>
      <c r="C12" s="65"/>
      <c r="D12" s="65"/>
      <c r="E12" s="66"/>
      <c r="F12" s="65"/>
      <c r="G12" s="65"/>
      <c r="H12" s="6" t="str">
        <f>IF(COUNTA(A12:G12,J12)=0,"",IF(OR(A12="",B12="",K12="",D12="",COUNT(E12)&lt;&gt;1),"Missing inputs",IF(SUMPRODUCT(--('Transactions'!$A$7:$A$106=A12))&lt;&gt;1,"Duplicate ID",IF(SUMPRODUCT(--('Products'!$A$7:$A$16=K12),--('Products'!$P$7:$P$16="Ready"))&lt;&gt;1,"Check SKU",IF(OR(NOT(ISNUMBER(B12)),B12&lt;1,B12&gt;73415,MOD(B12,1)&lt;&gt;0),"Check date",IF(OR(E12&lt;=0,E12&gt;1000000000,MOD(E12,1)&lt;&gt;0),"Check quantity",IF(AND(D12&lt;&gt;"IN",D12&lt;&gt;"OUT",D12&lt;&gt;"ADJUST+",D12&lt;&gt;"ADJUST-"),"Check movement",IF(J12="","Ready",IF(D12&lt;&gt;"IN","PO link needs IN",IF(AND(C12&lt;&gt;"",C12&lt;&gt;K12),"PO / SKU mismatch",IF(SUMPRODUCT(--('PurchaseOrders'!$A$7:$A$16=J12),--('PurchaseOrders'!$N$7:$N$16="Ready"))&lt;&gt;1,"Check PO link","Ready")))))))))))</f>
      </c>
      <c r="I12" s="17" t="str">
        <f>IF(H12&lt;&gt;"Ready","",IF(OR(D12="IN",D12="ADJUST+"),E12,-E12))</f>
      </c>
      <c r="J12" s="65"/>
      <c r="K12" t="str">
        <f>IF(COUNTA(A12:G12,J12)=0,"",IF(J12="",C12,IFERROR(INDEX('PurchaseOrders'!$C$7:$C$16,SUMPRODUCT(--('PurchaseOrders'!$A$7:$A$16=J12),ROW('PurchaseOrders'!$A$7:$A$16))-6),"")))</f>
      </c>
      <c r="L12" t="n">
        <f>L11+IF(AND(K12=SKUHistory!$C$4,H12="Ready",SKUHistory!$C$4&lt;&gt;"",ISNUMBER(SKUHistory!$F$4),ISNUMBER(SKUHistory!$I$4),B12&gt;=SKUHistory!$F$4,B12&lt;=SKUHistory!$I$4),1,0)</f>
        <v>2</v>
      </c>
      <c r="M12" t="str">
        <f>IF(AND(K12=SKUHistory!$C$4,H12="Ready",SKUHistory!$C$4&lt;&gt;"",ISNUMBER(SKUHistory!$F$4),ISNUMBER(SKUHistory!$I$4),B12&gt;=SKUHistory!$F$4,B12&lt;=SKUHistory!$I$4),L12,"")</f>
      </c>
    </row>
    <row r="13" ht="23" customHeight="1">
      <c r="A13" s="65"/>
      <c r="B13" s="63"/>
      <c r="C13" s="65"/>
      <c r="D13" s="65"/>
      <c r="E13" s="66"/>
      <c r="F13" s="65"/>
      <c r="G13" s="65"/>
      <c r="H13" s="6" t="str">
        <f>IF(COUNTA(A13:G13,J13)=0,"",IF(OR(A13="",B13="",K13="",D13="",COUNT(E13)&lt;&gt;1),"Missing inputs",IF(SUMPRODUCT(--('Transactions'!$A$7:$A$106=A13))&lt;&gt;1,"Duplicate ID",IF(SUMPRODUCT(--('Products'!$A$7:$A$16=K13),--('Products'!$P$7:$P$16="Ready"))&lt;&gt;1,"Check SKU",IF(OR(NOT(ISNUMBER(B13)),B13&lt;1,B13&gt;73415,MOD(B13,1)&lt;&gt;0),"Check date",IF(OR(E13&lt;=0,E13&gt;1000000000,MOD(E13,1)&lt;&gt;0),"Check quantity",IF(AND(D13&lt;&gt;"IN",D13&lt;&gt;"OUT",D13&lt;&gt;"ADJUST+",D13&lt;&gt;"ADJUST-"),"Check movement",IF(J13="","Ready",IF(D13&lt;&gt;"IN","PO link needs IN",IF(AND(C13&lt;&gt;"",C13&lt;&gt;K13),"PO / SKU mismatch",IF(SUMPRODUCT(--('PurchaseOrders'!$A$7:$A$16=J13),--('PurchaseOrders'!$N$7:$N$16="Ready"))&lt;&gt;1,"Check PO link","Ready")))))))))))</f>
      </c>
      <c r="I13" s="17" t="str">
        <f>IF(H13&lt;&gt;"Ready","",IF(OR(D13="IN",D13="ADJUST+"),E13,-E13))</f>
      </c>
      <c r="J13" s="65"/>
      <c r="K13" t="str">
        <f>IF(COUNTA(A13:G13,J13)=0,"",IF(J13="",C13,IFERROR(INDEX('PurchaseOrders'!$C$7:$C$16,SUMPRODUCT(--('PurchaseOrders'!$A$7:$A$16=J13),ROW('PurchaseOrders'!$A$7:$A$16))-6),"")))</f>
      </c>
      <c r="L13" t="n">
        <f>L12+IF(AND(K13=SKUHistory!$C$4,H13="Ready",SKUHistory!$C$4&lt;&gt;"",ISNUMBER(SKUHistory!$F$4),ISNUMBER(SKUHistory!$I$4),B13&gt;=SKUHistory!$F$4,B13&lt;=SKUHistory!$I$4),1,0)</f>
        <v>2</v>
      </c>
      <c r="M13" t="str">
        <f>IF(AND(K13=SKUHistory!$C$4,H13="Ready",SKUHistory!$C$4&lt;&gt;"",ISNUMBER(SKUHistory!$F$4),ISNUMBER(SKUHistory!$I$4),B13&gt;=SKUHistory!$F$4,B13&lt;=SKUHistory!$I$4),L13,"")</f>
      </c>
    </row>
    <row r="14" ht="23" customHeight="1">
      <c r="A14" s="65"/>
      <c r="B14" s="63"/>
      <c r="C14" s="65"/>
      <c r="D14" s="65"/>
      <c r="E14" s="66"/>
      <c r="F14" s="65"/>
      <c r="G14" s="65"/>
      <c r="H14" s="6" t="str">
        <f>IF(COUNTA(A14:G14,J14)=0,"",IF(OR(A14="",B14="",K14="",D14="",COUNT(E14)&lt;&gt;1),"Missing inputs",IF(SUMPRODUCT(--('Transactions'!$A$7:$A$106=A14))&lt;&gt;1,"Duplicate ID",IF(SUMPRODUCT(--('Products'!$A$7:$A$16=K14),--('Products'!$P$7:$P$16="Ready"))&lt;&gt;1,"Check SKU",IF(OR(NOT(ISNUMBER(B14)),B14&lt;1,B14&gt;73415,MOD(B14,1)&lt;&gt;0),"Check date",IF(OR(E14&lt;=0,E14&gt;1000000000,MOD(E14,1)&lt;&gt;0),"Check quantity",IF(AND(D14&lt;&gt;"IN",D14&lt;&gt;"OUT",D14&lt;&gt;"ADJUST+",D14&lt;&gt;"ADJUST-"),"Check movement",IF(J14="","Ready",IF(D14&lt;&gt;"IN","PO link needs IN",IF(AND(C14&lt;&gt;"",C14&lt;&gt;K14),"PO / SKU mismatch",IF(SUMPRODUCT(--('PurchaseOrders'!$A$7:$A$16=J14),--('PurchaseOrders'!$N$7:$N$16="Ready"))&lt;&gt;1,"Check PO link","Ready")))))))))))</f>
      </c>
      <c r="I14" s="17" t="str">
        <f>IF(H14&lt;&gt;"Ready","",IF(OR(D14="IN",D14="ADJUST+"),E14,-E14))</f>
      </c>
      <c r="J14" s="65"/>
      <c r="K14" t="str">
        <f>IF(COUNTA(A14:G14,J14)=0,"",IF(J14="",C14,IFERROR(INDEX('PurchaseOrders'!$C$7:$C$16,SUMPRODUCT(--('PurchaseOrders'!$A$7:$A$16=J14),ROW('PurchaseOrders'!$A$7:$A$16))-6),"")))</f>
      </c>
      <c r="L14" t="n">
        <f>L13+IF(AND(K14=SKUHistory!$C$4,H14="Ready",SKUHistory!$C$4&lt;&gt;"",ISNUMBER(SKUHistory!$F$4),ISNUMBER(SKUHistory!$I$4),B14&gt;=SKUHistory!$F$4,B14&lt;=SKUHistory!$I$4),1,0)</f>
        <v>2</v>
      </c>
      <c r="M14" t="str">
        <f>IF(AND(K14=SKUHistory!$C$4,H14="Ready",SKUHistory!$C$4&lt;&gt;"",ISNUMBER(SKUHistory!$F$4),ISNUMBER(SKUHistory!$I$4),B14&gt;=SKUHistory!$F$4,B14&lt;=SKUHistory!$I$4),L14,"")</f>
      </c>
    </row>
    <row r="15" ht="23" customHeight="1">
      <c r="A15" s="65"/>
      <c r="B15" s="63"/>
      <c r="C15" s="65"/>
      <c r="D15" s="65"/>
      <c r="E15" s="66"/>
      <c r="F15" s="65"/>
      <c r="G15" s="65"/>
      <c r="H15" s="6" t="str">
        <f>IF(COUNTA(A15:G15,J15)=0,"",IF(OR(A15="",B15="",K15="",D15="",COUNT(E15)&lt;&gt;1),"Missing inputs",IF(SUMPRODUCT(--('Transactions'!$A$7:$A$106=A15))&lt;&gt;1,"Duplicate ID",IF(SUMPRODUCT(--('Products'!$A$7:$A$16=K15),--('Products'!$P$7:$P$16="Ready"))&lt;&gt;1,"Check SKU",IF(OR(NOT(ISNUMBER(B15)),B15&lt;1,B15&gt;73415,MOD(B15,1)&lt;&gt;0),"Check date",IF(OR(E15&lt;=0,E15&gt;1000000000,MOD(E15,1)&lt;&gt;0),"Check quantity",IF(AND(D15&lt;&gt;"IN",D15&lt;&gt;"OUT",D15&lt;&gt;"ADJUST+",D15&lt;&gt;"ADJUST-"),"Check movement",IF(J15="","Ready",IF(D15&lt;&gt;"IN","PO link needs IN",IF(AND(C15&lt;&gt;"",C15&lt;&gt;K15),"PO / SKU mismatch",IF(SUMPRODUCT(--('PurchaseOrders'!$A$7:$A$16=J15),--('PurchaseOrders'!$N$7:$N$16="Ready"))&lt;&gt;1,"Check PO link","Ready")))))))))))</f>
      </c>
      <c r="I15" s="17" t="str">
        <f>IF(H15&lt;&gt;"Ready","",IF(OR(D15="IN",D15="ADJUST+"),E15,-E15))</f>
      </c>
      <c r="J15" s="65"/>
      <c r="K15" t="str">
        <f>IF(COUNTA(A15:G15,J15)=0,"",IF(J15="",C15,IFERROR(INDEX('PurchaseOrders'!$C$7:$C$16,SUMPRODUCT(--('PurchaseOrders'!$A$7:$A$16=J15),ROW('PurchaseOrders'!$A$7:$A$16))-6),"")))</f>
      </c>
      <c r="L15" t="n">
        <f>L14+IF(AND(K15=SKUHistory!$C$4,H15="Ready",SKUHistory!$C$4&lt;&gt;"",ISNUMBER(SKUHistory!$F$4),ISNUMBER(SKUHistory!$I$4),B15&gt;=SKUHistory!$F$4,B15&lt;=SKUHistory!$I$4),1,0)</f>
        <v>2</v>
      </c>
      <c r="M15" t="str">
        <f>IF(AND(K15=SKUHistory!$C$4,H15="Ready",SKUHistory!$C$4&lt;&gt;"",ISNUMBER(SKUHistory!$F$4),ISNUMBER(SKUHistory!$I$4),B15&gt;=SKUHistory!$F$4,B15&lt;=SKUHistory!$I$4),L15,"")</f>
      </c>
    </row>
    <row r="16" ht="23" customHeight="1">
      <c r="A16" s="65"/>
      <c r="B16" s="63"/>
      <c r="C16" s="65"/>
      <c r="D16" s="65"/>
      <c r="E16" s="66"/>
      <c r="F16" s="65"/>
      <c r="G16" s="65"/>
      <c r="H16" s="6" t="str">
        <f>IF(COUNTA(A16:G16,J16)=0,"",IF(OR(A16="",B16="",K16="",D16="",COUNT(E16)&lt;&gt;1),"Missing inputs",IF(SUMPRODUCT(--('Transactions'!$A$7:$A$106=A16))&lt;&gt;1,"Duplicate ID",IF(SUMPRODUCT(--('Products'!$A$7:$A$16=K16),--('Products'!$P$7:$P$16="Ready"))&lt;&gt;1,"Check SKU",IF(OR(NOT(ISNUMBER(B16)),B16&lt;1,B16&gt;73415,MOD(B16,1)&lt;&gt;0),"Check date",IF(OR(E16&lt;=0,E16&gt;1000000000,MOD(E16,1)&lt;&gt;0),"Check quantity",IF(AND(D16&lt;&gt;"IN",D16&lt;&gt;"OUT",D16&lt;&gt;"ADJUST+",D16&lt;&gt;"ADJUST-"),"Check movement",IF(J16="","Ready",IF(D16&lt;&gt;"IN","PO link needs IN",IF(AND(C16&lt;&gt;"",C16&lt;&gt;K16),"PO / SKU mismatch",IF(SUMPRODUCT(--('PurchaseOrders'!$A$7:$A$16=J16),--('PurchaseOrders'!$N$7:$N$16="Ready"))&lt;&gt;1,"Check PO link","Ready")))))))))))</f>
      </c>
      <c r="I16" s="17" t="str">
        <f>IF(H16&lt;&gt;"Ready","",IF(OR(D16="IN",D16="ADJUST+"),E16,-E16))</f>
      </c>
      <c r="J16" s="65"/>
      <c r="K16" t="str">
        <f>IF(COUNTA(A16:G16,J16)=0,"",IF(J16="",C16,IFERROR(INDEX('PurchaseOrders'!$C$7:$C$16,SUMPRODUCT(--('PurchaseOrders'!$A$7:$A$16=J16),ROW('PurchaseOrders'!$A$7:$A$16))-6),"")))</f>
      </c>
      <c r="L16" t="n">
        <f>L15+IF(AND(K16=SKUHistory!$C$4,H16="Ready",SKUHistory!$C$4&lt;&gt;"",ISNUMBER(SKUHistory!$F$4),ISNUMBER(SKUHistory!$I$4),B16&gt;=SKUHistory!$F$4,B16&lt;=SKUHistory!$I$4),1,0)</f>
        <v>2</v>
      </c>
      <c r="M16" t="str">
        <f>IF(AND(K16=SKUHistory!$C$4,H16="Ready",SKUHistory!$C$4&lt;&gt;"",ISNUMBER(SKUHistory!$F$4),ISNUMBER(SKUHistory!$I$4),B16&gt;=SKUHistory!$F$4,B16&lt;=SKUHistory!$I$4),L16,"")</f>
      </c>
    </row>
    <row r="17" ht="23" customHeight="1">
      <c r="A17" s="65"/>
      <c r="B17" s="63"/>
      <c r="C17" s="65"/>
      <c r="D17" s="65"/>
      <c r="E17" s="66"/>
      <c r="F17" s="65"/>
      <c r="G17" s="65"/>
      <c r="H17" s="6" t="str">
        <f>IF(COUNTA(A17:G17,J17)=0,"",IF(OR(A17="",B17="",K17="",D17="",COUNT(E17)&lt;&gt;1),"Missing inputs",IF(SUMPRODUCT(--('Transactions'!$A$7:$A$106=A17))&lt;&gt;1,"Duplicate ID",IF(SUMPRODUCT(--('Products'!$A$7:$A$16=K17),--('Products'!$P$7:$P$16="Ready"))&lt;&gt;1,"Check SKU",IF(OR(NOT(ISNUMBER(B17)),B17&lt;1,B17&gt;73415,MOD(B17,1)&lt;&gt;0),"Check date",IF(OR(E17&lt;=0,E17&gt;1000000000,MOD(E17,1)&lt;&gt;0),"Check quantity",IF(AND(D17&lt;&gt;"IN",D17&lt;&gt;"OUT",D17&lt;&gt;"ADJUST+",D17&lt;&gt;"ADJUST-"),"Check movement",IF(J17="","Ready",IF(D17&lt;&gt;"IN","PO link needs IN",IF(AND(C17&lt;&gt;"",C17&lt;&gt;K17),"PO / SKU mismatch",IF(SUMPRODUCT(--('PurchaseOrders'!$A$7:$A$16=J17),--('PurchaseOrders'!$N$7:$N$16="Ready"))&lt;&gt;1,"Check PO link","Ready")))))))))))</f>
      </c>
      <c r="I17" s="17" t="str">
        <f>IF(H17&lt;&gt;"Ready","",IF(OR(D17="IN",D17="ADJUST+"),E17,-E17))</f>
      </c>
      <c r="J17" s="65"/>
      <c r="K17" t="str">
        <f>IF(COUNTA(A17:G17,J17)=0,"",IF(J17="",C17,IFERROR(INDEX('PurchaseOrders'!$C$7:$C$16,SUMPRODUCT(--('PurchaseOrders'!$A$7:$A$16=J17),ROW('PurchaseOrders'!$A$7:$A$16))-6),"")))</f>
      </c>
      <c r="L17" t="n">
        <f>L16+IF(AND(K17=SKUHistory!$C$4,H17="Ready",SKUHistory!$C$4&lt;&gt;"",ISNUMBER(SKUHistory!$F$4),ISNUMBER(SKUHistory!$I$4),B17&gt;=SKUHistory!$F$4,B17&lt;=SKUHistory!$I$4),1,0)</f>
        <v>2</v>
      </c>
      <c r="M17" t="str">
        <f>IF(AND(K17=SKUHistory!$C$4,H17="Ready",SKUHistory!$C$4&lt;&gt;"",ISNUMBER(SKUHistory!$F$4),ISNUMBER(SKUHistory!$I$4),B17&gt;=SKUHistory!$F$4,B17&lt;=SKUHistory!$I$4),L17,"")</f>
      </c>
    </row>
    <row r="18" ht="23" customHeight="1">
      <c r="A18" s="65"/>
      <c r="B18" s="63"/>
      <c r="C18" s="65"/>
      <c r="D18" s="65"/>
      <c r="E18" s="66"/>
      <c r="F18" s="65"/>
      <c r="G18" s="65"/>
      <c r="H18" s="6" t="str">
        <f>IF(COUNTA(A18:G18,J18)=0,"",IF(OR(A18="",B18="",K18="",D18="",COUNT(E18)&lt;&gt;1),"Missing inputs",IF(SUMPRODUCT(--('Transactions'!$A$7:$A$106=A18))&lt;&gt;1,"Duplicate ID",IF(SUMPRODUCT(--('Products'!$A$7:$A$16=K18),--('Products'!$P$7:$P$16="Ready"))&lt;&gt;1,"Check SKU",IF(OR(NOT(ISNUMBER(B18)),B18&lt;1,B18&gt;73415,MOD(B18,1)&lt;&gt;0),"Check date",IF(OR(E18&lt;=0,E18&gt;1000000000,MOD(E18,1)&lt;&gt;0),"Check quantity",IF(AND(D18&lt;&gt;"IN",D18&lt;&gt;"OUT",D18&lt;&gt;"ADJUST+",D18&lt;&gt;"ADJUST-"),"Check movement",IF(J18="","Ready",IF(D18&lt;&gt;"IN","PO link needs IN",IF(AND(C18&lt;&gt;"",C18&lt;&gt;K18),"PO / SKU mismatch",IF(SUMPRODUCT(--('PurchaseOrders'!$A$7:$A$16=J18),--('PurchaseOrders'!$N$7:$N$16="Ready"))&lt;&gt;1,"Check PO link","Ready")))))))))))</f>
      </c>
      <c r="I18" s="17" t="str">
        <f>IF(H18&lt;&gt;"Ready","",IF(OR(D18="IN",D18="ADJUST+"),E18,-E18))</f>
      </c>
      <c r="J18" s="65"/>
      <c r="K18" t="str">
        <f>IF(COUNTA(A18:G18,J18)=0,"",IF(J18="",C18,IFERROR(INDEX('PurchaseOrders'!$C$7:$C$16,SUMPRODUCT(--('PurchaseOrders'!$A$7:$A$16=J18),ROW('PurchaseOrders'!$A$7:$A$16))-6),"")))</f>
      </c>
      <c r="L18" t="n">
        <f>L17+IF(AND(K18=SKUHistory!$C$4,H18="Ready",SKUHistory!$C$4&lt;&gt;"",ISNUMBER(SKUHistory!$F$4),ISNUMBER(SKUHistory!$I$4),B18&gt;=SKUHistory!$F$4,B18&lt;=SKUHistory!$I$4),1,0)</f>
        <v>2</v>
      </c>
      <c r="M18" t="str">
        <f>IF(AND(K18=SKUHistory!$C$4,H18="Ready",SKUHistory!$C$4&lt;&gt;"",ISNUMBER(SKUHistory!$F$4),ISNUMBER(SKUHistory!$I$4),B18&gt;=SKUHistory!$F$4,B18&lt;=SKUHistory!$I$4),L18,"")</f>
      </c>
    </row>
    <row r="19" ht="23" customHeight="1">
      <c r="A19" s="65"/>
      <c r="B19" s="63"/>
      <c r="C19" s="65"/>
      <c r="D19" s="65"/>
      <c r="E19" s="66"/>
      <c r="F19" s="65"/>
      <c r="G19" s="65"/>
      <c r="H19" s="6" t="str">
        <f>IF(COUNTA(A19:G19,J19)=0,"",IF(OR(A19="",B19="",K19="",D19="",COUNT(E19)&lt;&gt;1),"Missing inputs",IF(SUMPRODUCT(--('Transactions'!$A$7:$A$106=A19))&lt;&gt;1,"Duplicate ID",IF(SUMPRODUCT(--('Products'!$A$7:$A$16=K19),--('Products'!$P$7:$P$16="Ready"))&lt;&gt;1,"Check SKU",IF(OR(NOT(ISNUMBER(B19)),B19&lt;1,B19&gt;73415,MOD(B19,1)&lt;&gt;0),"Check date",IF(OR(E19&lt;=0,E19&gt;1000000000,MOD(E19,1)&lt;&gt;0),"Check quantity",IF(AND(D19&lt;&gt;"IN",D19&lt;&gt;"OUT",D19&lt;&gt;"ADJUST+",D19&lt;&gt;"ADJUST-"),"Check movement",IF(J19="","Ready",IF(D19&lt;&gt;"IN","PO link needs IN",IF(AND(C19&lt;&gt;"",C19&lt;&gt;K19),"PO / SKU mismatch",IF(SUMPRODUCT(--('PurchaseOrders'!$A$7:$A$16=J19),--('PurchaseOrders'!$N$7:$N$16="Ready"))&lt;&gt;1,"Check PO link","Ready")))))))))))</f>
      </c>
      <c r="I19" s="17" t="str">
        <f>IF(H19&lt;&gt;"Ready","",IF(OR(D19="IN",D19="ADJUST+"),E19,-E19))</f>
      </c>
      <c r="J19" s="65"/>
      <c r="K19" t="str">
        <f>IF(COUNTA(A19:G19,J19)=0,"",IF(J19="",C19,IFERROR(INDEX('PurchaseOrders'!$C$7:$C$16,SUMPRODUCT(--('PurchaseOrders'!$A$7:$A$16=J19),ROW('PurchaseOrders'!$A$7:$A$16))-6),"")))</f>
      </c>
      <c r="L19" t="n">
        <f>L18+IF(AND(K19=SKUHistory!$C$4,H19="Ready",SKUHistory!$C$4&lt;&gt;"",ISNUMBER(SKUHistory!$F$4),ISNUMBER(SKUHistory!$I$4),B19&gt;=SKUHistory!$F$4,B19&lt;=SKUHistory!$I$4),1,0)</f>
        <v>2</v>
      </c>
      <c r="M19" t="str">
        <f>IF(AND(K19=SKUHistory!$C$4,H19="Ready",SKUHistory!$C$4&lt;&gt;"",ISNUMBER(SKUHistory!$F$4),ISNUMBER(SKUHistory!$I$4),B19&gt;=SKUHistory!$F$4,B19&lt;=SKUHistory!$I$4),L19,"")</f>
      </c>
    </row>
    <row r="20" ht="23" customHeight="1">
      <c r="A20" s="65"/>
      <c r="B20" s="63"/>
      <c r="C20" s="65"/>
      <c r="D20" s="65"/>
      <c r="E20" s="66"/>
      <c r="F20" s="65"/>
      <c r="G20" s="65"/>
      <c r="H20" s="6" t="str">
        <f>IF(COUNTA(A20:G20,J20)=0,"",IF(OR(A20="",B20="",K20="",D20="",COUNT(E20)&lt;&gt;1),"Missing inputs",IF(SUMPRODUCT(--('Transactions'!$A$7:$A$106=A20))&lt;&gt;1,"Duplicate ID",IF(SUMPRODUCT(--('Products'!$A$7:$A$16=K20),--('Products'!$P$7:$P$16="Ready"))&lt;&gt;1,"Check SKU",IF(OR(NOT(ISNUMBER(B20)),B20&lt;1,B20&gt;73415,MOD(B20,1)&lt;&gt;0),"Check date",IF(OR(E20&lt;=0,E20&gt;1000000000,MOD(E20,1)&lt;&gt;0),"Check quantity",IF(AND(D20&lt;&gt;"IN",D20&lt;&gt;"OUT",D20&lt;&gt;"ADJUST+",D20&lt;&gt;"ADJUST-"),"Check movement",IF(J20="","Ready",IF(D20&lt;&gt;"IN","PO link needs IN",IF(AND(C20&lt;&gt;"",C20&lt;&gt;K20),"PO / SKU mismatch",IF(SUMPRODUCT(--('PurchaseOrders'!$A$7:$A$16=J20),--('PurchaseOrders'!$N$7:$N$16="Ready"))&lt;&gt;1,"Check PO link","Ready")))))))))))</f>
      </c>
      <c r="I20" s="17" t="str">
        <f>IF(H20&lt;&gt;"Ready","",IF(OR(D20="IN",D20="ADJUST+"),E20,-E20))</f>
      </c>
      <c r="J20" s="65"/>
      <c r="K20" t="str">
        <f>IF(COUNTA(A20:G20,J20)=0,"",IF(J20="",C20,IFERROR(INDEX('PurchaseOrders'!$C$7:$C$16,SUMPRODUCT(--('PurchaseOrders'!$A$7:$A$16=J20),ROW('PurchaseOrders'!$A$7:$A$16))-6),"")))</f>
      </c>
      <c r="L20" t="n">
        <f>L19+IF(AND(K20=SKUHistory!$C$4,H20="Ready",SKUHistory!$C$4&lt;&gt;"",ISNUMBER(SKUHistory!$F$4),ISNUMBER(SKUHistory!$I$4),B20&gt;=SKUHistory!$F$4,B20&lt;=SKUHistory!$I$4),1,0)</f>
        <v>2</v>
      </c>
      <c r="M20" t="str">
        <f>IF(AND(K20=SKUHistory!$C$4,H20="Ready",SKUHistory!$C$4&lt;&gt;"",ISNUMBER(SKUHistory!$F$4),ISNUMBER(SKUHistory!$I$4),B20&gt;=SKUHistory!$F$4,B20&lt;=SKUHistory!$I$4),L20,"")</f>
      </c>
    </row>
    <row r="21" ht="23" customHeight="1">
      <c r="A21" s="65"/>
      <c r="B21" s="63"/>
      <c r="C21" s="65"/>
      <c r="D21" s="65"/>
      <c r="E21" s="66"/>
      <c r="F21" s="65"/>
      <c r="G21" s="65"/>
      <c r="H21" s="6" t="str">
        <f>IF(COUNTA(A21:G21,J21)=0,"",IF(OR(A21="",B21="",K21="",D21="",COUNT(E21)&lt;&gt;1),"Missing inputs",IF(SUMPRODUCT(--('Transactions'!$A$7:$A$106=A21))&lt;&gt;1,"Duplicate ID",IF(SUMPRODUCT(--('Products'!$A$7:$A$16=K21),--('Products'!$P$7:$P$16="Ready"))&lt;&gt;1,"Check SKU",IF(OR(NOT(ISNUMBER(B21)),B21&lt;1,B21&gt;73415,MOD(B21,1)&lt;&gt;0),"Check date",IF(OR(E21&lt;=0,E21&gt;1000000000,MOD(E21,1)&lt;&gt;0),"Check quantity",IF(AND(D21&lt;&gt;"IN",D21&lt;&gt;"OUT",D21&lt;&gt;"ADJUST+",D21&lt;&gt;"ADJUST-"),"Check movement",IF(J21="","Ready",IF(D21&lt;&gt;"IN","PO link needs IN",IF(AND(C21&lt;&gt;"",C21&lt;&gt;K21),"PO / SKU mismatch",IF(SUMPRODUCT(--('PurchaseOrders'!$A$7:$A$16=J21),--('PurchaseOrders'!$N$7:$N$16="Ready"))&lt;&gt;1,"Check PO link","Ready")))))))))))</f>
      </c>
      <c r="I21" s="17" t="str">
        <f>IF(H21&lt;&gt;"Ready","",IF(OR(D21="IN",D21="ADJUST+"),E21,-E21))</f>
      </c>
      <c r="J21" s="65"/>
      <c r="K21" t="str">
        <f>IF(COUNTA(A21:G21,J21)=0,"",IF(J21="",C21,IFERROR(INDEX('PurchaseOrders'!$C$7:$C$16,SUMPRODUCT(--('PurchaseOrders'!$A$7:$A$16=J21),ROW('PurchaseOrders'!$A$7:$A$16))-6),"")))</f>
      </c>
      <c r="L21" t="n">
        <f>L20+IF(AND(K21=SKUHistory!$C$4,H21="Ready",SKUHistory!$C$4&lt;&gt;"",ISNUMBER(SKUHistory!$F$4),ISNUMBER(SKUHistory!$I$4),B21&gt;=SKUHistory!$F$4,B21&lt;=SKUHistory!$I$4),1,0)</f>
        <v>2</v>
      </c>
      <c r="M21" t="str">
        <f>IF(AND(K21=SKUHistory!$C$4,H21="Ready",SKUHistory!$C$4&lt;&gt;"",ISNUMBER(SKUHistory!$F$4),ISNUMBER(SKUHistory!$I$4),B21&gt;=SKUHistory!$F$4,B21&lt;=SKUHistory!$I$4),L21,"")</f>
      </c>
    </row>
    <row r="22" ht="23" customHeight="1">
      <c r="A22" s="65"/>
      <c r="B22" s="63"/>
      <c r="C22" s="65"/>
      <c r="D22" s="65"/>
      <c r="E22" s="66"/>
      <c r="F22" s="65"/>
      <c r="G22" s="65"/>
      <c r="H22" s="6" t="str">
        <f>IF(COUNTA(A22:G22,J22)=0,"",IF(OR(A22="",B22="",K22="",D22="",COUNT(E22)&lt;&gt;1),"Missing inputs",IF(SUMPRODUCT(--('Transactions'!$A$7:$A$106=A22))&lt;&gt;1,"Duplicate ID",IF(SUMPRODUCT(--('Products'!$A$7:$A$16=K22),--('Products'!$P$7:$P$16="Ready"))&lt;&gt;1,"Check SKU",IF(OR(NOT(ISNUMBER(B22)),B22&lt;1,B22&gt;73415,MOD(B22,1)&lt;&gt;0),"Check date",IF(OR(E22&lt;=0,E22&gt;1000000000,MOD(E22,1)&lt;&gt;0),"Check quantity",IF(AND(D22&lt;&gt;"IN",D22&lt;&gt;"OUT",D22&lt;&gt;"ADJUST+",D22&lt;&gt;"ADJUST-"),"Check movement",IF(J22="","Ready",IF(D22&lt;&gt;"IN","PO link needs IN",IF(AND(C22&lt;&gt;"",C22&lt;&gt;K22),"PO / SKU mismatch",IF(SUMPRODUCT(--('PurchaseOrders'!$A$7:$A$16=J22),--('PurchaseOrders'!$N$7:$N$16="Ready"))&lt;&gt;1,"Check PO link","Ready")))))))))))</f>
      </c>
      <c r="I22" s="17" t="str">
        <f>IF(H22&lt;&gt;"Ready","",IF(OR(D22="IN",D22="ADJUST+"),E22,-E22))</f>
      </c>
      <c r="J22" s="65"/>
      <c r="K22" t="str">
        <f>IF(COUNTA(A22:G22,J22)=0,"",IF(J22="",C22,IFERROR(INDEX('PurchaseOrders'!$C$7:$C$16,SUMPRODUCT(--('PurchaseOrders'!$A$7:$A$16=J22),ROW('PurchaseOrders'!$A$7:$A$16))-6),"")))</f>
      </c>
      <c r="L22" t="n">
        <f>L21+IF(AND(K22=SKUHistory!$C$4,H22="Ready",SKUHistory!$C$4&lt;&gt;"",ISNUMBER(SKUHistory!$F$4),ISNUMBER(SKUHistory!$I$4),B22&gt;=SKUHistory!$F$4,B22&lt;=SKUHistory!$I$4),1,0)</f>
        <v>2</v>
      </c>
      <c r="M22" t="str">
        <f>IF(AND(K22=SKUHistory!$C$4,H22="Ready",SKUHistory!$C$4&lt;&gt;"",ISNUMBER(SKUHistory!$F$4),ISNUMBER(SKUHistory!$I$4),B22&gt;=SKUHistory!$F$4,B22&lt;=SKUHistory!$I$4),L22,"")</f>
      </c>
    </row>
    <row r="23" ht="23" customHeight="1">
      <c r="A23" s="65"/>
      <c r="B23" s="63"/>
      <c r="C23" s="65"/>
      <c r="D23" s="65"/>
      <c r="E23" s="66"/>
      <c r="F23" s="65"/>
      <c r="G23" s="65"/>
      <c r="H23" s="6" t="str">
        <f>IF(COUNTA(A23:G23,J23)=0,"",IF(OR(A23="",B23="",K23="",D23="",COUNT(E23)&lt;&gt;1),"Missing inputs",IF(SUMPRODUCT(--('Transactions'!$A$7:$A$106=A23))&lt;&gt;1,"Duplicate ID",IF(SUMPRODUCT(--('Products'!$A$7:$A$16=K23),--('Products'!$P$7:$P$16="Ready"))&lt;&gt;1,"Check SKU",IF(OR(NOT(ISNUMBER(B23)),B23&lt;1,B23&gt;73415,MOD(B23,1)&lt;&gt;0),"Check date",IF(OR(E23&lt;=0,E23&gt;1000000000,MOD(E23,1)&lt;&gt;0),"Check quantity",IF(AND(D23&lt;&gt;"IN",D23&lt;&gt;"OUT",D23&lt;&gt;"ADJUST+",D23&lt;&gt;"ADJUST-"),"Check movement",IF(J23="","Ready",IF(D23&lt;&gt;"IN","PO link needs IN",IF(AND(C23&lt;&gt;"",C23&lt;&gt;K23),"PO / SKU mismatch",IF(SUMPRODUCT(--('PurchaseOrders'!$A$7:$A$16=J23),--('PurchaseOrders'!$N$7:$N$16="Ready"))&lt;&gt;1,"Check PO link","Ready")))))))))))</f>
      </c>
      <c r="I23" s="17" t="str">
        <f>IF(H23&lt;&gt;"Ready","",IF(OR(D23="IN",D23="ADJUST+"),E23,-E23))</f>
      </c>
      <c r="J23" s="65"/>
      <c r="K23" t="str">
        <f>IF(COUNTA(A23:G23,J23)=0,"",IF(J23="",C23,IFERROR(INDEX('PurchaseOrders'!$C$7:$C$16,SUMPRODUCT(--('PurchaseOrders'!$A$7:$A$16=J23),ROW('PurchaseOrders'!$A$7:$A$16))-6),"")))</f>
      </c>
      <c r="L23" t="n">
        <f>L22+IF(AND(K23=SKUHistory!$C$4,H23="Ready",SKUHistory!$C$4&lt;&gt;"",ISNUMBER(SKUHistory!$F$4),ISNUMBER(SKUHistory!$I$4),B23&gt;=SKUHistory!$F$4,B23&lt;=SKUHistory!$I$4),1,0)</f>
        <v>2</v>
      </c>
      <c r="M23" t="str">
        <f>IF(AND(K23=SKUHistory!$C$4,H23="Ready",SKUHistory!$C$4&lt;&gt;"",ISNUMBER(SKUHistory!$F$4),ISNUMBER(SKUHistory!$I$4),B23&gt;=SKUHistory!$F$4,B23&lt;=SKUHistory!$I$4),L23,"")</f>
      </c>
    </row>
    <row r="24" ht="23" customHeight="1">
      <c r="A24" s="65"/>
      <c r="B24" s="63"/>
      <c r="C24" s="65"/>
      <c r="D24" s="65"/>
      <c r="E24" s="66"/>
      <c r="F24" s="65"/>
      <c r="G24" s="65"/>
      <c r="H24" s="6" t="str">
        <f>IF(COUNTA(A24:G24,J24)=0,"",IF(OR(A24="",B24="",K24="",D24="",COUNT(E24)&lt;&gt;1),"Missing inputs",IF(SUMPRODUCT(--('Transactions'!$A$7:$A$106=A24))&lt;&gt;1,"Duplicate ID",IF(SUMPRODUCT(--('Products'!$A$7:$A$16=K24),--('Products'!$P$7:$P$16="Ready"))&lt;&gt;1,"Check SKU",IF(OR(NOT(ISNUMBER(B24)),B24&lt;1,B24&gt;73415,MOD(B24,1)&lt;&gt;0),"Check date",IF(OR(E24&lt;=0,E24&gt;1000000000,MOD(E24,1)&lt;&gt;0),"Check quantity",IF(AND(D24&lt;&gt;"IN",D24&lt;&gt;"OUT",D24&lt;&gt;"ADJUST+",D24&lt;&gt;"ADJUST-"),"Check movement",IF(J24="","Ready",IF(D24&lt;&gt;"IN","PO link needs IN",IF(AND(C24&lt;&gt;"",C24&lt;&gt;K24),"PO / SKU mismatch",IF(SUMPRODUCT(--('PurchaseOrders'!$A$7:$A$16=J24),--('PurchaseOrders'!$N$7:$N$16="Ready"))&lt;&gt;1,"Check PO link","Ready")))))))))))</f>
      </c>
      <c r="I24" s="17" t="str">
        <f>IF(H24&lt;&gt;"Ready","",IF(OR(D24="IN",D24="ADJUST+"),E24,-E24))</f>
      </c>
      <c r="J24" s="65"/>
      <c r="K24" t="str">
        <f>IF(COUNTA(A24:G24,J24)=0,"",IF(J24="",C24,IFERROR(INDEX('PurchaseOrders'!$C$7:$C$16,SUMPRODUCT(--('PurchaseOrders'!$A$7:$A$16=J24),ROW('PurchaseOrders'!$A$7:$A$16))-6),"")))</f>
      </c>
      <c r="L24" t="n">
        <f>L23+IF(AND(K24=SKUHistory!$C$4,H24="Ready",SKUHistory!$C$4&lt;&gt;"",ISNUMBER(SKUHistory!$F$4),ISNUMBER(SKUHistory!$I$4),B24&gt;=SKUHistory!$F$4,B24&lt;=SKUHistory!$I$4),1,0)</f>
        <v>2</v>
      </c>
      <c r="M24" t="str">
        <f>IF(AND(K24=SKUHistory!$C$4,H24="Ready",SKUHistory!$C$4&lt;&gt;"",ISNUMBER(SKUHistory!$F$4),ISNUMBER(SKUHistory!$I$4),B24&gt;=SKUHistory!$F$4,B24&lt;=SKUHistory!$I$4),L24,"")</f>
      </c>
    </row>
    <row r="25" ht="23" customHeight="1">
      <c r="A25" s="65"/>
      <c r="B25" s="63"/>
      <c r="C25" s="65"/>
      <c r="D25" s="65"/>
      <c r="E25" s="66"/>
      <c r="F25" s="65"/>
      <c r="G25" s="65"/>
      <c r="H25" s="6" t="str">
        <f>IF(COUNTA(A25:G25,J25)=0,"",IF(OR(A25="",B25="",K25="",D25="",COUNT(E25)&lt;&gt;1),"Missing inputs",IF(SUMPRODUCT(--('Transactions'!$A$7:$A$106=A25))&lt;&gt;1,"Duplicate ID",IF(SUMPRODUCT(--('Products'!$A$7:$A$16=K25),--('Products'!$P$7:$P$16="Ready"))&lt;&gt;1,"Check SKU",IF(OR(NOT(ISNUMBER(B25)),B25&lt;1,B25&gt;73415,MOD(B25,1)&lt;&gt;0),"Check date",IF(OR(E25&lt;=0,E25&gt;1000000000,MOD(E25,1)&lt;&gt;0),"Check quantity",IF(AND(D25&lt;&gt;"IN",D25&lt;&gt;"OUT",D25&lt;&gt;"ADJUST+",D25&lt;&gt;"ADJUST-"),"Check movement",IF(J25="","Ready",IF(D25&lt;&gt;"IN","PO link needs IN",IF(AND(C25&lt;&gt;"",C25&lt;&gt;K25),"PO / SKU mismatch",IF(SUMPRODUCT(--('PurchaseOrders'!$A$7:$A$16=J25),--('PurchaseOrders'!$N$7:$N$16="Ready"))&lt;&gt;1,"Check PO link","Ready")))))))))))</f>
      </c>
      <c r="I25" s="17" t="str">
        <f>IF(H25&lt;&gt;"Ready","",IF(OR(D25="IN",D25="ADJUST+"),E25,-E25))</f>
      </c>
      <c r="J25" s="65"/>
      <c r="K25" t="str">
        <f>IF(COUNTA(A25:G25,J25)=0,"",IF(J25="",C25,IFERROR(INDEX('PurchaseOrders'!$C$7:$C$16,SUMPRODUCT(--('PurchaseOrders'!$A$7:$A$16=J25),ROW('PurchaseOrders'!$A$7:$A$16))-6),"")))</f>
      </c>
      <c r="L25" t="n">
        <f>L24+IF(AND(K25=SKUHistory!$C$4,H25="Ready",SKUHistory!$C$4&lt;&gt;"",ISNUMBER(SKUHistory!$F$4),ISNUMBER(SKUHistory!$I$4),B25&gt;=SKUHistory!$F$4,B25&lt;=SKUHistory!$I$4),1,0)</f>
        <v>2</v>
      </c>
      <c r="M25" t="str">
        <f>IF(AND(K25=SKUHistory!$C$4,H25="Ready",SKUHistory!$C$4&lt;&gt;"",ISNUMBER(SKUHistory!$F$4),ISNUMBER(SKUHistory!$I$4),B25&gt;=SKUHistory!$F$4,B25&lt;=SKUHistory!$I$4),L25,"")</f>
      </c>
    </row>
    <row r="26" ht="23" customHeight="1">
      <c r="A26" s="65"/>
      <c r="B26" s="63"/>
      <c r="C26" s="65"/>
      <c r="D26" s="65"/>
      <c r="E26" s="66"/>
      <c r="F26" s="65"/>
      <c r="G26" s="65"/>
      <c r="H26" s="6" t="str">
        <f>IF(COUNTA(A26:G26,J26)=0,"",IF(OR(A26="",B26="",K26="",D26="",COUNT(E26)&lt;&gt;1),"Missing inputs",IF(SUMPRODUCT(--('Transactions'!$A$7:$A$106=A26))&lt;&gt;1,"Duplicate ID",IF(SUMPRODUCT(--('Products'!$A$7:$A$16=K26),--('Products'!$P$7:$P$16="Ready"))&lt;&gt;1,"Check SKU",IF(OR(NOT(ISNUMBER(B26)),B26&lt;1,B26&gt;73415,MOD(B26,1)&lt;&gt;0),"Check date",IF(OR(E26&lt;=0,E26&gt;1000000000,MOD(E26,1)&lt;&gt;0),"Check quantity",IF(AND(D26&lt;&gt;"IN",D26&lt;&gt;"OUT",D26&lt;&gt;"ADJUST+",D26&lt;&gt;"ADJUST-"),"Check movement",IF(J26="","Ready",IF(D26&lt;&gt;"IN","PO link needs IN",IF(AND(C26&lt;&gt;"",C26&lt;&gt;K26),"PO / SKU mismatch",IF(SUMPRODUCT(--('PurchaseOrders'!$A$7:$A$16=J26),--('PurchaseOrders'!$N$7:$N$16="Ready"))&lt;&gt;1,"Check PO link","Ready")))))))))))</f>
      </c>
      <c r="I26" s="17" t="str">
        <f>IF(H26&lt;&gt;"Ready","",IF(OR(D26="IN",D26="ADJUST+"),E26,-E26))</f>
      </c>
      <c r="J26" s="65"/>
      <c r="K26" t="str">
        <f>IF(COUNTA(A26:G26,J26)=0,"",IF(J26="",C26,IFERROR(INDEX('PurchaseOrders'!$C$7:$C$16,SUMPRODUCT(--('PurchaseOrders'!$A$7:$A$16=J26),ROW('PurchaseOrders'!$A$7:$A$16))-6),"")))</f>
      </c>
      <c r="L26" t="n">
        <f>L25+IF(AND(K26=SKUHistory!$C$4,H26="Ready",SKUHistory!$C$4&lt;&gt;"",ISNUMBER(SKUHistory!$F$4),ISNUMBER(SKUHistory!$I$4),B26&gt;=SKUHistory!$F$4,B26&lt;=SKUHistory!$I$4),1,0)</f>
        <v>2</v>
      </c>
      <c r="M26" t="str">
        <f>IF(AND(K26=SKUHistory!$C$4,H26="Ready",SKUHistory!$C$4&lt;&gt;"",ISNUMBER(SKUHistory!$F$4),ISNUMBER(SKUHistory!$I$4),B26&gt;=SKUHistory!$F$4,B26&lt;=SKUHistory!$I$4),L26,"")</f>
      </c>
    </row>
    <row r="27" ht="23" customHeight="1">
      <c r="A27" s="65"/>
      <c r="B27" s="63"/>
      <c r="C27" s="65"/>
      <c r="D27" s="65"/>
      <c r="E27" s="66"/>
      <c r="F27" s="65"/>
      <c r="G27" s="65"/>
      <c r="H27" s="6" t="str">
        <f>IF(COUNTA(A27:G27,J27)=0,"",IF(OR(A27="",B27="",K27="",D27="",COUNT(E27)&lt;&gt;1),"Missing inputs",IF(SUMPRODUCT(--('Transactions'!$A$7:$A$106=A27))&lt;&gt;1,"Duplicate ID",IF(SUMPRODUCT(--('Products'!$A$7:$A$16=K27),--('Products'!$P$7:$P$16="Ready"))&lt;&gt;1,"Check SKU",IF(OR(NOT(ISNUMBER(B27)),B27&lt;1,B27&gt;73415,MOD(B27,1)&lt;&gt;0),"Check date",IF(OR(E27&lt;=0,E27&gt;1000000000,MOD(E27,1)&lt;&gt;0),"Check quantity",IF(AND(D27&lt;&gt;"IN",D27&lt;&gt;"OUT",D27&lt;&gt;"ADJUST+",D27&lt;&gt;"ADJUST-"),"Check movement",IF(J27="","Ready",IF(D27&lt;&gt;"IN","PO link needs IN",IF(AND(C27&lt;&gt;"",C27&lt;&gt;K27),"PO / SKU mismatch",IF(SUMPRODUCT(--('PurchaseOrders'!$A$7:$A$16=J27),--('PurchaseOrders'!$N$7:$N$16="Ready"))&lt;&gt;1,"Check PO link","Ready")))))))))))</f>
      </c>
      <c r="I27" s="17" t="str">
        <f>IF(H27&lt;&gt;"Ready","",IF(OR(D27="IN",D27="ADJUST+"),E27,-E27))</f>
      </c>
      <c r="J27" s="65"/>
      <c r="K27" t="str">
        <f>IF(COUNTA(A27:G27,J27)=0,"",IF(J27="",C27,IFERROR(INDEX('PurchaseOrders'!$C$7:$C$16,SUMPRODUCT(--('PurchaseOrders'!$A$7:$A$16=J27),ROW('PurchaseOrders'!$A$7:$A$16))-6),"")))</f>
      </c>
      <c r="L27" t="n">
        <f>L26+IF(AND(K27=SKUHistory!$C$4,H27="Ready",SKUHistory!$C$4&lt;&gt;"",ISNUMBER(SKUHistory!$F$4),ISNUMBER(SKUHistory!$I$4),B27&gt;=SKUHistory!$F$4,B27&lt;=SKUHistory!$I$4),1,0)</f>
        <v>2</v>
      </c>
      <c r="M27" t="str">
        <f>IF(AND(K27=SKUHistory!$C$4,H27="Ready",SKUHistory!$C$4&lt;&gt;"",ISNUMBER(SKUHistory!$F$4),ISNUMBER(SKUHistory!$I$4),B27&gt;=SKUHistory!$F$4,B27&lt;=SKUHistory!$I$4),L27,"")</f>
      </c>
    </row>
    <row r="28" ht="23" customHeight="1">
      <c r="A28" s="65"/>
      <c r="B28" s="63"/>
      <c r="C28" s="65"/>
      <c r="D28" s="65"/>
      <c r="E28" s="66"/>
      <c r="F28" s="65"/>
      <c r="G28" s="65"/>
      <c r="H28" s="6" t="str">
        <f>IF(COUNTA(A28:G28,J28)=0,"",IF(OR(A28="",B28="",K28="",D28="",COUNT(E28)&lt;&gt;1),"Missing inputs",IF(SUMPRODUCT(--('Transactions'!$A$7:$A$106=A28))&lt;&gt;1,"Duplicate ID",IF(SUMPRODUCT(--('Products'!$A$7:$A$16=K28),--('Products'!$P$7:$P$16="Ready"))&lt;&gt;1,"Check SKU",IF(OR(NOT(ISNUMBER(B28)),B28&lt;1,B28&gt;73415,MOD(B28,1)&lt;&gt;0),"Check date",IF(OR(E28&lt;=0,E28&gt;1000000000,MOD(E28,1)&lt;&gt;0),"Check quantity",IF(AND(D28&lt;&gt;"IN",D28&lt;&gt;"OUT",D28&lt;&gt;"ADJUST+",D28&lt;&gt;"ADJUST-"),"Check movement",IF(J28="","Ready",IF(D28&lt;&gt;"IN","PO link needs IN",IF(AND(C28&lt;&gt;"",C28&lt;&gt;K28),"PO / SKU mismatch",IF(SUMPRODUCT(--('PurchaseOrders'!$A$7:$A$16=J28),--('PurchaseOrders'!$N$7:$N$16="Ready"))&lt;&gt;1,"Check PO link","Ready")))))))))))</f>
      </c>
      <c r="I28" s="17" t="str">
        <f>IF(H28&lt;&gt;"Ready","",IF(OR(D28="IN",D28="ADJUST+"),E28,-E28))</f>
      </c>
      <c r="J28" s="65"/>
      <c r="K28" t="str">
        <f>IF(COUNTA(A28:G28,J28)=0,"",IF(J28="",C28,IFERROR(INDEX('PurchaseOrders'!$C$7:$C$16,SUMPRODUCT(--('PurchaseOrders'!$A$7:$A$16=J28),ROW('PurchaseOrders'!$A$7:$A$16))-6),"")))</f>
      </c>
      <c r="L28" t="n">
        <f>L27+IF(AND(K28=SKUHistory!$C$4,H28="Ready",SKUHistory!$C$4&lt;&gt;"",ISNUMBER(SKUHistory!$F$4),ISNUMBER(SKUHistory!$I$4),B28&gt;=SKUHistory!$F$4,B28&lt;=SKUHistory!$I$4),1,0)</f>
        <v>2</v>
      </c>
      <c r="M28" t="str">
        <f>IF(AND(K28=SKUHistory!$C$4,H28="Ready",SKUHistory!$C$4&lt;&gt;"",ISNUMBER(SKUHistory!$F$4),ISNUMBER(SKUHistory!$I$4),B28&gt;=SKUHistory!$F$4,B28&lt;=SKUHistory!$I$4),L28,"")</f>
      </c>
    </row>
    <row r="29" ht="23" customHeight="1">
      <c r="A29" s="65"/>
      <c r="B29" s="63"/>
      <c r="C29" s="65"/>
      <c r="D29" s="65"/>
      <c r="E29" s="66"/>
      <c r="F29" s="65"/>
      <c r="G29" s="65"/>
      <c r="H29" s="6" t="str">
        <f>IF(COUNTA(A29:G29,J29)=0,"",IF(OR(A29="",B29="",K29="",D29="",COUNT(E29)&lt;&gt;1),"Missing inputs",IF(SUMPRODUCT(--('Transactions'!$A$7:$A$106=A29))&lt;&gt;1,"Duplicate ID",IF(SUMPRODUCT(--('Products'!$A$7:$A$16=K29),--('Products'!$P$7:$P$16="Ready"))&lt;&gt;1,"Check SKU",IF(OR(NOT(ISNUMBER(B29)),B29&lt;1,B29&gt;73415,MOD(B29,1)&lt;&gt;0),"Check date",IF(OR(E29&lt;=0,E29&gt;1000000000,MOD(E29,1)&lt;&gt;0),"Check quantity",IF(AND(D29&lt;&gt;"IN",D29&lt;&gt;"OUT",D29&lt;&gt;"ADJUST+",D29&lt;&gt;"ADJUST-"),"Check movement",IF(J29="","Ready",IF(D29&lt;&gt;"IN","PO link needs IN",IF(AND(C29&lt;&gt;"",C29&lt;&gt;K29),"PO / SKU mismatch",IF(SUMPRODUCT(--('PurchaseOrders'!$A$7:$A$16=J29),--('PurchaseOrders'!$N$7:$N$16="Ready"))&lt;&gt;1,"Check PO link","Ready")))))))))))</f>
      </c>
      <c r="I29" s="17" t="str">
        <f>IF(H29&lt;&gt;"Ready","",IF(OR(D29="IN",D29="ADJUST+"),E29,-E29))</f>
      </c>
      <c r="J29" s="65"/>
      <c r="K29" t="str">
        <f>IF(COUNTA(A29:G29,J29)=0,"",IF(J29="",C29,IFERROR(INDEX('PurchaseOrders'!$C$7:$C$16,SUMPRODUCT(--('PurchaseOrders'!$A$7:$A$16=J29),ROW('PurchaseOrders'!$A$7:$A$16))-6),"")))</f>
      </c>
      <c r="L29" t="n">
        <f>L28+IF(AND(K29=SKUHistory!$C$4,H29="Ready",SKUHistory!$C$4&lt;&gt;"",ISNUMBER(SKUHistory!$F$4),ISNUMBER(SKUHistory!$I$4),B29&gt;=SKUHistory!$F$4,B29&lt;=SKUHistory!$I$4),1,0)</f>
        <v>2</v>
      </c>
      <c r="M29" t="str">
        <f>IF(AND(K29=SKUHistory!$C$4,H29="Ready",SKUHistory!$C$4&lt;&gt;"",ISNUMBER(SKUHistory!$F$4),ISNUMBER(SKUHistory!$I$4),B29&gt;=SKUHistory!$F$4,B29&lt;=SKUHistory!$I$4),L29,"")</f>
      </c>
    </row>
    <row r="30" ht="23" customHeight="1">
      <c r="A30" s="65"/>
      <c r="B30" s="63"/>
      <c r="C30" s="65"/>
      <c r="D30" s="65"/>
      <c r="E30" s="66"/>
      <c r="F30" s="65"/>
      <c r="G30" s="65"/>
      <c r="H30" s="6" t="str">
        <f>IF(COUNTA(A30:G30,J30)=0,"",IF(OR(A30="",B30="",K30="",D30="",COUNT(E30)&lt;&gt;1),"Missing inputs",IF(SUMPRODUCT(--('Transactions'!$A$7:$A$106=A30))&lt;&gt;1,"Duplicate ID",IF(SUMPRODUCT(--('Products'!$A$7:$A$16=K30),--('Products'!$P$7:$P$16="Ready"))&lt;&gt;1,"Check SKU",IF(OR(NOT(ISNUMBER(B30)),B30&lt;1,B30&gt;73415,MOD(B30,1)&lt;&gt;0),"Check date",IF(OR(E30&lt;=0,E30&gt;1000000000,MOD(E30,1)&lt;&gt;0),"Check quantity",IF(AND(D30&lt;&gt;"IN",D30&lt;&gt;"OUT",D30&lt;&gt;"ADJUST+",D30&lt;&gt;"ADJUST-"),"Check movement",IF(J30="","Ready",IF(D30&lt;&gt;"IN","PO link needs IN",IF(AND(C30&lt;&gt;"",C30&lt;&gt;K30),"PO / SKU mismatch",IF(SUMPRODUCT(--('PurchaseOrders'!$A$7:$A$16=J30),--('PurchaseOrders'!$N$7:$N$16="Ready"))&lt;&gt;1,"Check PO link","Ready")))))))))))</f>
      </c>
      <c r="I30" s="17" t="str">
        <f>IF(H30&lt;&gt;"Ready","",IF(OR(D30="IN",D30="ADJUST+"),E30,-E30))</f>
      </c>
      <c r="J30" s="65"/>
      <c r="K30" t="str">
        <f>IF(COUNTA(A30:G30,J30)=0,"",IF(J30="",C30,IFERROR(INDEX('PurchaseOrders'!$C$7:$C$16,SUMPRODUCT(--('PurchaseOrders'!$A$7:$A$16=J30),ROW('PurchaseOrders'!$A$7:$A$16))-6),"")))</f>
      </c>
      <c r="L30" t="n">
        <f>L29+IF(AND(K30=SKUHistory!$C$4,H30="Ready",SKUHistory!$C$4&lt;&gt;"",ISNUMBER(SKUHistory!$F$4),ISNUMBER(SKUHistory!$I$4),B30&gt;=SKUHistory!$F$4,B30&lt;=SKUHistory!$I$4),1,0)</f>
        <v>2</v>
      </c>
      <c r="M30" t="str">
        <f>IF(AND(K30=SKUHistory!$C$4,H30="Ready",SKUHistory!$C$4&lt;&gt;"",ISNUMBER(SKUHistory!$F$4),ISNUMBER(SKUHistory!$I$4),B30&gt;=SKUHistory!$F$4,B30&lt;=SKUHistory!$I$4),L30,"")</f>
      </c>
    </row>
    <row r="31" ht="23" customHeight="1">
      <c r="A31" s="65"/>
      <c r="B31" s="63"/>
      <c r="C31" s="65"/>
      <c r="D31" s="65"/>
      <c r="E31" s="66"/>
      <c r="F31" s="65"/>
      <c r="G31" s="65"/>
      <c r="H31" s="6" t="str">
        <f>IF(COUNTA(A31:G31,J31)=0,"",IF(OR(A31="",B31="",K31="",D31="",COUNT(E31)&lt;&gt;1),"Missing inputs",IF(SUMPRODUCT(--('Transactions'!$A$7:$A$106=A31))&lt;&gt;1,"Duplicate ID",IF(SUMPRODUCT(--('Products'!$A$7:$A$16=K31),--('Products'!$P$7:$P$16="Ready"))&lt;&gt;1,"Check SKU",IF(OR(NOT(ISNUMBER(B31)),B31&lt;1,B31&gt;73415,MOD(B31,1)&lt;&gt;0),"Check date",IF(OR(E31&lt;=0,E31&gt;1000000000,MOD(E31,1)&lt;&gt;0),"Check quantity",IF(AND(D31&lt;&gt;"IN",D31&lt;&gt;"OUT",D31&lt;&gt;"ADJUST+",D31&lt;&gt;"ADJUST-"),"Check movement",IF(J31="","Ready",IF(D31&lt;&gt;"IN","PO link needs IN",IF(AND(C31&lt;&gt;"",C31&lt;&gt;K31),"PO / SKU mismatch",IF(SUMPRODUCT(--('PurchaseOrders'!$A$7:$A$16=J31),--('PurchaseOrders'!$N$7:$N$16="Ready"))&lt;&gt;1,"Check PO link","Ready")))))))))))</f>
      </c>
      <c r="I31" s="17" t="str">
        <f>IF(H31&lt;&gt;"Ready","",IF(OR(D31="IN",D31="ADJUST+"),E31,-E31))</f>
      </c>
      <c r="J31" s="65"/>
      <c r="K31" t="str">
        <f>IF(COUNTA(A31:G31,J31)=0,"",IF(J31="",C31,IFERROR(INDEX('PurchaseOrders'!$C$7:$C$16,SUMPRODUCT(--('PurchaseOrders'!$A$7:$A$16=J31),ROW('PurchaseOrders'!$A$7:$A$16))-6),"")))</f>
      </c>
      <c r="L31" t="n">
        <f>L30+IF(AND(K31=SKUHistory!$C$4,H31="Ready",SKUHistory!$C$4&lt;&gt;"",ISNUMBER(SKUHistory!$F$4),ISNUMBER(SKUHistory!$I$4),B31&gt;=SKUHistory!$F$4,B31&lt;=SKUHistory!$I$4),1,0)</f>
        <v>2</v>
      </c>
      <c r="M31" t="str">
        <f>IF(AND(K31=SKUHistory!$C$4,H31="Ready",SKUHistory!$C$4&lt;&gt;"",ISNUMBER(SKUHistory!$F$4),ISNUMBER(SKUHistory!$I$4),B31&gt;=SKUHistory!$F$4,B31&lt;=SKUHistory!$I$4),L31,"")</f>
      </c>
    </row>
    <row r="32" ht="23" customHeight="1">
      <c r="A32" s="65"/>
      <c r="B32" s="63"/>
      <c r="C32" s="65"/>
      <c r="D32" s="65"/>
      <c r="E32" s="66"/>
      <c r="F32" s="65"/>
      <c r="G32" s="65"/>
      <c r="H32" s="6" t="str">
        <f>IF(COUNTA(A32:G32,J32)=0,"",IF(OR(A32="",B32="",K32="",D32="",COUNT(E32)&lt;&gt;1),"Missing inputs",IF(SUMPRODUCT(--('Transactions'!$A$7:$A$106=A32))&lt;&gt;1,"Duplicate ID",IF(SUMPRODUCT(--('Products'!$A$7:$A$16=K32),--('Products'!$P$7:$P$16="Ready"))&lt;&gt;1,"Check SKU",IF(OR(NOT(ISNUMBER(B32)),B32&lt;1,B32&gt;73415,MOD(B32,1)&lt;&gt;0),"Check date",IF(OR(E32&lt;=0,E32&gt;1000000000,MOD(E32,1)&lt;&gt;0),"Check quantity",IF(AND(D32&lt;&gt;"IN",D32&lt;&gt;"OUT",D32&lt;&gt;"ADJUST+",D32&lt;&gt;"ADJUST-"),"Check movement",IF(J32="","Ready",IF(D32&lt;&gt;"IN","PO link needs IN",IF(AND(C32&lt;&gt;"",C32&lt;&gt;K32),"PO / SKU mismatch",IF(SUMPRODUCT(--('PurchaseOrders'!$A$7:$A$16=J32),--('PurchaseOrders'!$N$7:$N$16="Ready"))&lt;&gt;1,"Check PO link","Ready")))))))))))</f>
      </c>
      <c r="I32" s="17" t="str">
        <f>IF(H32&lt;&gt;"Ready","",IF(OR(D32="IN",D32="ADJUST+"),E32,-E32))</f>
      </c>
      <c r="J32" s="65"/>
      <c r="K32" t="str">
        <f>IF(COUNTA(A32:G32,J32)=0,"",IF(J32="",C32,IFERROR(INDEX('PurchaseOrders'!$C$7:$C$16,SUMPRODUCT(--('PurchaseOrders'!$A$7:$A$16=J32),ROW('PurchaseOrders'!$A$7:$A$16))-6),"")))</f>
      </c>
      <c r="L32" t="n">
        <f>L31+IF(AND(K32=SKUHistory!$C$4,H32="Ready",SKUHistory!$C$4&lt;&gt;"",ISNUMBER(SKUHistory!$F$4),ISNUMBER(SKUHistory!$I$4),B32&gt;=SKUHistory!$F$4,B32&lt;=SKUHistory!$I$4),1,0)</f>
        <v>2</v>
      </c>
      <c r="M32" t="str">
        <f>IF(AND(K32=SKUHistory!$C$4,H32="Ready",SKUHistory!$C$4&lt;&gt;"",ISNUMBER(SKUHistory!$F$4),ISNUMBER(SKUHistory!$I$4),B32&gt;=SKUHistory!$F$4,B32&lt;=SKUHistory!$I$4),L32,"")</f>
      </c>
    </row>
    <row r="33" ht="23" customHeight="1">
      <c r="A33" s="65"/>
      <c r="B33" s="63"/>
      <c r="C33" s="65"/>
      <c r="D33" s="65"/>
      <c r="E33" s="66"/>
      <c r="F33" s="65"/>
      <c r="G33" s="65"/>
      <c r="H33" s="6" t="str">
        <f>IF(COUNTA(A33:G33,J33)=0,"",IF(OR(A33="",B33="",K33="",D33="",COUNT(E33)&lt;&gt;1),"Missing inputs",IF(SUMPRODUCT(--('Transactions'!$A$7:$A$106=A33))&lt;&gt;1,"Duplicate ID",IF(SUMPRODUCT(--('Products'!$A$7:$A$16=K33),--('Products'!$P$7:$P$16="Ready"))&lt;&gt;1,"Check SKU",IF(OR(NOT(ISNUMBER(B33)),B33&lt;1,B33&gt;73415,MOD(B33,1)&lt;&gt;0),"Check date",IF(OR(E33&lt;=0,E33&gt;1000000000,MOD(E33,1)&lt;&gt;0),"Check quantity",IF(AND(D33&lt;&gt;"IN",D33&lt;&gt;"OUT",D33&lt;&gt;"ADJUST+",D33&lt;&gt;"ADJUST-"),"Check movement",IF(J33="","Ready",IF(D33&lt;&gt;"IN","PO link needs IN",IF(AND(C33&lt;&gt;"",C33&lt;&gt;K33),"PO / SKU mismatch",IF(SUMPRODUCT(--('PurchaseOrders'!$A$7:$A$16=J33),--('PurchaseOrders'!$N$7:$N$16="Ready"))&lt;&gt;1,"Check PO link","Ready")))))))))))</f>
      </c>
      <c r="I33" s="17" t="str">
        <f>IF(H33&lt;&gt;"Ready","",IF(OR(D33="IN",D33="ADJUST+"),E33,-E33))</f>
      </c>
      <c r="J33" s="65"/>
      <c r="K33" t="str">
        <f>IF(COUNTA(A33:G33,J33)=0,"",IF(J33="",C33,IFERROR(INDEX('PurchaseOrders'!$C$7:$C$16,SUMPRODUCT(--('PurchaseOrders'!$A$7:$A$16=J33),ROW('PurchaseOrders'!$A$7:$A$16))-6),"")))</f>
      </c>
      <c r="L33" t="n">
        <f>L32+IF(AND(K33=SKUHistory!$C$4,H33="Ready",SKUHistory!$C$4&lt;&gt;"",ISNUMBER(SKUHistory!$F$4),ISNUMBER(SKUHistory!$I$4),B33&gt;=SKUHistory!$F$4,B33&lt;=SKUHistory!$I$4),1,0)</f>
        <v>2</v>
      </c>
      <c r="M33" t="str">
        <f>IF(AND(K33=SKUHistory!$C$4,H33="Ready",SKUHistory!$C$4&lt;&gt;"",ISNUMBER(SKUHistory!$F$4),ISNUMBER(SKUHistory!$I$4),B33&gt;=SKUHistory!$F$4,B33&lt;=SKUHistory!$I$4),L33,"")</f>
      </c>
    </row>
    <row r="34" ht="23" customHeight="1">
      <c r="A34" s="65"/>
      <c r="B34" s="63"/>
      <c r="C34" s="65"/>
      <c r="D34" s="65"/>
      <c r="E34" s="66"/>
      <c r="F34" s="65"/>
      <c r="G34" s="65"/>
      <c r="H34" s="6" t="str">
        <f>IF(COUNTA(A34:G34,J34)=0,"",IF(OR(A34="",B34="",K34="",D34="",COUNT(E34)&lt;&gt;1),"Missing inputs",IF(SUMPRODUCT(--('Transactions'!$A$7:$A$106=A34))&lt;&gt;1,"Duplicate ID",IF(SUMPRODUCT(--('Products'!$A$7:$A$16=K34),--('Products'!$P$7:$P$16="Ready"))&lt;&gt;1,"Check SKU",IF(OR(NOT(ISNUMBER(B34)),B34&lt;1,B34&gt;73415,MOD(B34,1)&lt;&gt;0),"Check date",IF(OR(E34&lt;=0,E34&gt;1000000000,MOD(E34,1)&lt;&gt;0),"Check quantity",IF(AND(D34&lt;&gt;"IN",D34&lt;&gt;"OUT",D34&lt;&gt;"ADJUST+",D34&lt;&gt;"ADJUST-"),"Check movement",IF(J34="","Ready",IF(D34&lt;&gt;"IN","PO link needs IN",IF(AND(C34&lt;&gt;"",C34&lt;&gt;K34),"PO / SKU mismatch",IF(SUMPRODUCT(--('PurchaseOrders'!$A$7:$A$16=J34),--('PurchaseOrders'!$N$7:$N$16="Ready"))&lt;&gt;1,"Check PO link","Ready")))))))))))</f>
      </c>
      <c r="I34" s="17" t="str">
        <f>IF(H34&lt;&gt;"Ready","",IF(OR(D34="IN",D34="ADJUST+"),E34,-E34))</f>
      </c>
      <c r="J34" s="65"/>
      <c r="K34" t="str">
        <f>IF(COUNTA(A34:G34,J34)=0,"",IF(J34="",C34,IFERROR(INDEX('PurchaseOrders'!$C$7:$C$16,SUMPRODUCT(--('PurchaseOrders'!$A$7:$A$16=J34),ROW('PurchaseOrders'!$A$7:$A$16))-6),"")))</f>
      </c>
      <c r="L34" t="n">
        <f>L33+IF(AND(K34=SKUHistory!$C$4,H34="Ready",SKUHistory!$C$4&lt;&gt;"",ISNUMBER(SKUHistory!$F$4),ISNUMBER(SKUHistory!$I$4),B34&gt;=SKUHistory!$F$4,B34&lt;=SKUHistory!$I$4),1,0)</f>
        <v>2</v>
      </c>
      <c r="M34" t="str">
        <f>IF(AND(K34=SKUHistory!$C$4,H34="Ready",SKUHistory!$C$4&lt;&gt;"",ISNUMBER(SKUHistory!$F$4),ISNUMBER(SKUHistory!$I$4),B34&gt;=SKUHistory!$F$4,B34&lt;=SKUHistory!$I$4),L34,"")</f>
      </c>
    </row>
    <row r="35" ht="23" customHeight="1">
      <c r="A35" s="65"/>
      <c r="B35" s="63"/>
      <c r="C35" s="65"/>
      <c r="D35" s="65"/>
      <c r="E35" s="66"/>
      <c r="F35" s="65"/>
      <c r="G35" s="65"/>
      <c r="H35" s="6" t="str">
        <f>IF(COUNTA(A35:G35,J35)=0,"",IF(OR(A35="",B35="",K35="",D35="",COUNT(E35)&lt;&gt;1),"Missing inputs",IF(SUMPRODUCT(--('Transactions'!$A$7:$A$106=A35))&lt;&gt;1,"Duplicate ID",IF(SUMPRODUCT(--('Products'!$A$7:$A$16=K35),--('Products'!$P$7:$P$16="Ready"))&lt;&gt;1,"Check SKU",IF(OR(NOT(ISNUMBER(B35)),B35&lt;1,B35&gt;73415,MOD(B35,1)&lt;&gt;0),"Check date",IF(OR(E35&lt;=0,E35&gt;1000000000,MOD(E35,1)&lt;&gt;0),"Check quantity",IF(AND(D35&lt;&gt;"IN",D35&lt;&gt;"OUT",D35&lt;&gt;"ADJUST+",D35&lt;&gt;"ADJUST-"),"Check movement",IF(J35="","Ready",IF(D35&lt;&gt;"IN","PO link needs IN",IF(AND(C35&lt;&gt;"",C35&lt;&gt;K35),"PO / SKU mismatch",IF(SUMPRODUCT(--('PurchaseOrders'!$A$7:$A$16=J35),--('PurchaseOrders'!$N$7:$N$16="Ready"))&lt;&gt;1,"Check PO link","Ready")))))))))))</f>
      </c>
      <c r="I35" s="17" t="str">
        <f>IF(H35&lt;&gt;"Ready","",IF(OR(D35="IN",D35="ADJUST+"),E35,-E35))</f>
      </c>
      <c r="J35" s="65"/>
      <c r="K35" t="str">
        <f>IF(COUNTA(A35:G35,J35)=0,"",IF(J35="",C35,IFERROR(INDEX('PurchaseOrders'!$C$7:$C$16,SUMPRODUCT(--('PurchaseOrders'!$A$7:$A$16=J35),ROW('PurchaseOrders'!$A$7:$A$16))-6),"")))</f>
      </c>
      <c r="L35" t="n">
        <f>L34+IF(AND(K35=SKUHistory!$C$4,H35="Ready",SKUHistory!$C$4&lt;&gt;"",ISNUMBER(SKUHistory!$F$4),ISNUMBER(SKUHistory!$I$4),B35&gt;=SKUHistory!$F$4,B35&lt;=SKUHistory!$I$4),1,0)</f>
        <v>2</v>
      </c>
      <c r="M35" t="str">
        <f>IF(AND(K35=SKUHistory!$C$4,H35="Ready",SKUHistory!$C$4&lt;&gt;"",ISNUMBER(SKUHistory!$F$4),ISNUMBER(SKUHistory!$I$4),B35&gt;=SKUHistory!$F$4,B35&lt;=SKUHistory!$I$4),L35,"")</f>
      </c>
    </row>
    <row r="36" ht="23" customHeight="1">
      <c r="A36" s="65"/>
      <c r="B36" s="63"/>
      <c r="C36" s="65"/>
      <c r="D36" s="65"/>
      <c r="E36" s="66"/>
      <c r="F36" s="65"/>
      <c r="G36" s="65"/>
      <c r="H36" s="6" t="str">
        <f>IF(COUNTA(A36:G36,J36)=0,"",IF(OR(A36="",B36="",K36="",D36="",COUNT(E36)&lt;&gt;1),"Missing inputs",IF(SUMPRODUCT(--('Transactions'!$A$7:$A$106=A36))&lt;&gt;1,"Duplicate ID",IF(SUMPRODUCT(--('Products'!$A$7:$A$16=K36),--('Products'!$P$7:$P$16="Ready"))&lt;&gt;1,"Check SKU",IF(OR(NOT(ISNUMBER(B36)),B36&lt;1,B36&gt;73415,MOD(B36,1)&lt;&gt;0),"Check date",IF(OR(E36&lt;=0,E36&gt;1000000000,MOD(E36,1)&lt;&gt;0),"Check quantity",IF(AND(D36&lt;&gt;"IN",D36&lt;&gt;"OUT",D36&lt;&gt;"ADJUST+",D36&lt;&gt;"ADJUST-"),"Check movement",IF(J36="","Ready",IF(D36&lt;&gt;"IN","PO link needs IN",IF(AND(C36&lt;&gt;"",C36&lt;&gt;K36),"PO / SKU mismatch",IF(SUMPRODUCT(--('PurchaseOrders'!$A$7:$A$16=J36),--('PurchaseOrders'!$N$7:$N$16="Ready"))&lt;&gt;1,"Check PO link","Ready")))))))))))</f>
      </c>
      <c r="I36" s="17" t="str">
        <f>IF(H36&lt;&gt;"Ready","",IF(OR(D36="IN",D36="ADJUST+"),E36,-E36))</f>
      </c>
      <c r="J36" s="65"/>
      <c r="K36" t="str">
        <f>IF(COUNTA(A36:G36,J36)=0,"",IF(J36="",C36,IFERROR(INDEX('PurchaseOrders'!$C$7:$C$16,SUMPRODUCT(--('PurchaseOrders'!$A$7:$A$16=J36),ROW('PurchaseOrders'!$A$7:$A$16))-6),"")))</f>
      </c>
      <c r="L36" t="n">
        <f>L35+IF(AND(K36=SKUHistory!$C$4,H36="Ready",SKUHistory!$C$4&lt;&gt;"",ISNUMBER(SKUHistory!$F$4),ISNUMBER(SKUHistory!$I$4),B36&gt;=SKUHistory!$F$4,B36&lt;=SKUHistory!$I$4),1,0)</f>
        <v>2</v>
      </c>
      <c r="M36" t="str">
        <f>IF(AND(K36=SKUHistory!$C$4,H36="Ready",SKUHistory!$C$4&lt;&gt;"",ISNUMBER(SKUHistory!$F$4),ISNUMBER(SKUHistory!$I$4),B36&gt;=SKUHistory!$F$4,B36&lt;=SKUHistory!$I$4),L36,"")</f>
      </c>
    </row>
    <row r="37" ht="23" customHeight="1">
      <c r="A37" s="65"/>
      <c r="B37" s="63"/>
      <c r="C37" s="65"/>
      <c r="D37" s="65"/>
      <c r="E37" s="66"/>
      <c r="F37" s="65"/>
      <c r="G37" s="65"/>
      <c r="H37" s="6" t="str">
        <f>IF(COUNTA(A37:G37,J37)=0,"",IF(OR(A37="",B37="",K37="",D37="",COUNT(E37)&lt;&gt;1),"Missing inputs",IF(SUMPRODUCT(--('Transactions'!$A$7:$A$106=A37))&lt;&gt;1,"Duplicate ID",IF(SUMPRODUCT(--('Products'!$A$7:$A$16=K37),--('Products'!$P$7:$P$16="Ready"))&lt;&gt;1,"Check SKU",IF(OR(NOT(ISNUMBER(B37)),B37&lt;1,B37&gt;73415,MOD(B37,1)&lt;&gt;0),"Check date",IF(OR(E37&lt;=0,E37&gt;1000000000,MOD(E37,1)&lt;&gt;0),"Check quantity",IF(AND(D37&lt;&gt;"IN",D37&lt;&gt;"OUT",D37&lt;&gt;"ADJUST+",D37&lt;&gt;"ADJUST-"),"Check movement",IF(J37="","Ready",IF(D37&lt;&gt;"IN","PO link needs IN",IF(AND(C37&lt;&gt;"",C37&lt;&gt;K37),"PO / SKU mismatch",IF(SUMPRODUCT(--('PurchaseOrders'!$A$7:$A$16=J37),--('PurchaseOrders'!$N$7:$N$16="Ready"))&lt;&gt;1,"Check PO link","Ready")))))))))))</f>
      </c>
      <c r="I37" s="17" t="str">
        <f>IF(H37&lt;&gt;"Ready","",IF(OR(D37="IN",D37="ADJUST+"),E37,-E37))</f>
      </c>
      <c r="J37" s="65"/>
      <c r="K37" t="str">
        <f>IF(COUNTA(A37:G37,J37)=0,"",IF(J37="",C37,IFERROR(INDEX('PurchaseOrders'!$C$7:$C$16,SUMPRODUCT(--('PurchaseOrders'!$A$7:$A$16=J37),ROW('PurchaseOrders'!$A$7:$A$16))-6),"")))</f>
      </c>
      <c r="L37" t="n">
        <f>L36+IF(AND(K37=SKUHistory!$C$4,H37="Ready",SKUHistory!$C$4&lt;&gt;"",ISNUMBER(SKUHistory!$F$4),ISNUMBER(SKUHistory!$I$4),B37&gt;=SKUHistory!$F$4,B37&lt;=SKUHistory!$I$4),1,0)</f>
        <v>2</v>
      </c>
      <c r="M37" t="str">
        <f>IF(AND(K37=SKUHistory!$C$4,H37="Ready",SKUHistory!$C$4&lt;&gt;"",ISNUMBER(SKUHistory!$F$4),ISNUMBER(SKUHistory!$I$4),B37&gt;=SKUHistory!$F$4,B37&lt;=SKUHistory!$I$4),L37,"")</f>
      </c>
    </row>
    <row r="38" ht="23" customHeight="1">
      <c r="A38" s="65"/>
      <c r="B38" s="63"/>
      <c r="C38" s="65"/>
      <c r="D38" s="65"/>
      <c r="E38" s="66"/>
      <c r="F38" s="65"/>
      <c r="G38" s="65"/>
      <c r="H38" s="6" t="str">
        <f>IF(COUNTA(A38:G38,J38)=0,"",IF(OR(A38="",B38="",K38="",D38="",COUNT(E38)&lt;&gt;1),"Missing inputs",IF(SUMPRODUCT(--('Transactions'!$A$7:$A$106=A38))&lt;&gt;1,"Duplicate ID",IF(SUMPRODUCT(--('Products'!$A$7:$A$16=K38),--('Products'!$P$7:$P$16="Ready"))&lt;&gt;1,"Check SKU",IF(OR(NOT(ISNUMBER(B38)),B38&lt;1,B38&gt;73415,MOD(B38,1)&lt;&gt;0),"Check date",IF(OR(E38&lt;=0,E38&gt;1000000000,MOD(E38,1)&lt;&gt;0),"Check quantity",IF(AND(D38&lt;&gt;"IN",D38&lt;&gt;"OUT",D38&lt;&gt;"ADJUST+",D38&lt;&gt;"ADJUST-"),"Check movement",IF(J38="","Ready",IF(D38&lt;&gt;"IN","PO link needs IN",IF(AND(C38&lt;&gt;"",C38&lt;&gt;K38),"PO / SKU mismatch",IF(SUMPRODUCT(--('PurchaseOrders'!$A$7:$A$16=J38),--('PurchaseOrders'!$N$7:$N$16="Ready"))&lt;&gt;1,"Check PO link","Ready")))))))))))</f>
      </c>
      <c r="I38" s="17" t="str">
        <f>IF(H38&lt;&gt;"Ready","",IF(OR(D38="IN",D38="ADJUST+"),E38,-E38))</f>
      </c>
      <c r="J38" s="65"/>
      <c r="K38" t="str">
        <f>IF(COUNTA(A38:G38,J38)=0,"",IF(J38="",C38,IFERROR(INDEX('PurchaseOrders'!$C$7:$C$16,SUMPRODUCT(--('PurchaseOrders'!$A$7:$A$16=J38),ROW('PurchaseOrders'!$A$7:$A$16))-6),"")))</f>
      </c>
      <c r="L38" t="n">
        <f>L37+IF(AND(K38=SKUHistory!$C$4,H38="Ready",SKUHistory!$C$4&lt;&gt;"",ISNUMBER(SKUHistory!$F$4),ISNUMBER(SKUHistory!$I$4),B38&gt;=SKUHistory!$F$4,B38&lt;=SKUHistory!$I$4),1,0)</f>
        <v>2</v>
      </c>
      <c r="M38" t="str">
        <f>IF(AND(K38=SKUHistory!$C$4,H38="Ready",SKUHistory!$C$4&lt;&gt;"",ISNUMBER(SKUHistory!$F$4),ISNUMBER(SKUHistory!$I$4),B38&gt;=SKUHistory!$F$4,B38&lt;=SKUHistory!$I$4),L38,"")</f>
      </c>
    </row>
    <row r="39" ht="23" customHeight="1">
      <c r="A39" s="65"/>
      <c r="B39" s="63"/>
      <c r="C39" s="65"/>
      <c r="D39" s="65"/>
      <c r="E39" s="66"/>
      <c r="F39" s="65"/>
      <c r="G39" s="65"/>
      <c r="H39" s="6" t="str">
        <f>IF(COUNTA(A39:G39,J39)=0,"",IF(OR(A39="",B39="",K39="",D39="",COUNT(E39)&lt;&gt;1),"Missing inputs",IF(SUMPRODUCT(--('Transactions'!$A$7:$A$106=A39))&lt;&gt;1,"Duplicate ID",IF(SUMPRODUCT(--('Products'!$A$7:$A$16=K39),--('Products'!$P$7:$P$16="Ready"))&lt;&gt;1,"Check SKU",IF(OR(NOT(ISNUMBER(B39)),B39&lt;1,B39&gt;73415,MOD(B39,1)&lt;&gt;0),"Check date",IF(OR(E39&lt;=0,E39&gt;1000000000,MOD(E39,1)&lt;&gt;0),"Check quantity",IF(AND(D39&lt;&gt;"IN",D39&lt;&gt;"OUT",D39&lt;&gt;"ADJUST+",D39&lt;&gt;"ADJUST-"),"Check movement",IF(J39="","Ready",IF(D39&lt;&gt;"IN","PO link needs IN",IF(AND(C39&lt;&gt;"",C39&lt;&gt;K39),"PO / SKU mismatch",IF(SUMPRODUCT(--('PurchaseOrders'!$A$7:$A$16=J39),--('PurchaseOrders'!$N$7:$N$16="Ready"))&lt;&gt;1,"Check PO link","Ready")))))))))))</f>
      </c>
      <c r="I39" s="17" t="str">
        <f>IF(H39&lt;&gt;"Ready","",IF(OR(D39="IN",D39="ADJUST+"),E39,-E39))</f>
      </c>
      <c r="J39" s="65"/>
      <c r="K39" t="str">
        <f>IF(COUNTA(A39:G39,J39)=0,"",IF(J39="",C39,IFERROR(INDEX('PurchaseOrders'!$C$7:$C$16,SUMPRODUCT(--('PurchaseOrders'!$A$7:$A$16=J39),ROW('PurchaseOrders'!$A$7:$A$16))-6),"")))</f>
      </c>
      <c r="L39" t="n">
        <f>L38+IF(AND(K39=SKUHistory!$C$4,H39="Ready",SKUHistory!$C$4&lt;&gt;"",ISNUMBER(SKUHistory!$F$4),ISNUMBER(SKUHistory!$I$4),B39&gt;=SKUHistory!$F$4,B39&lt;=SKUHistory!$I$4),1,0)</f>
        <v>2</v>
      </c>
      <c r="M39" t="str">
        <f>IF(AND(K39=SKUHistory!$C$4,H39="Ready",SKUHistory!$C$4&lt;&gt;"",ISNUMBER(SKUHistory!$F$4),ISNUMBER(SKUHistory!$I$4),B39&gt;=SKUHistory!$F$4,B39&lt;=SKUHistory!$I$4),L39,"")</f>
      </c>
    </row>
    <row r="40" ht="23" customHeight="1">
      <c r="A40" s="65"/>
      <c r="B40" s="63"/>
      <c r="C40" s="65"/>
      <c r="D40" s="65"/>
      <c r="E40" s="66"/>
      <c r="F40" s="65"/>
      <c r="G40" s="65"/>
      <c r="H40" s="6" t="str">
        <f>IF(COUNTA(A40:G40,J40)=0,"",IF(OR(A40="",B40="",K40="",D40="",COUNT(E40)&lt;&gt;1),"Missing inputs",IF(SUMPRODUCT(--('Transactions'!$A$7:$A$106=A40))&lt;&gt;1,"Duplicate ID",IF(SUMPRODUCT(--('Products'!$A$7:$A$16=K40),--('Products'!$P$7:$P$16="Ready"))&lt;&gt;1,"Check SKU",IF(OR(NOT(ISNUMBER(B40)),B40&lt;1,B40&gt;73415,MOD(B40,1)&lt;&gt;0),"Check date",IF(OR(E40&lt;=0,E40&gt;1000000000,MOD(E40,1)&lt;&gt;0),"Check quantity",IF(AND(D40&lt;&gt;"IN",D40&lt;&gt;"OUT",D40&lt;&gt;"ADJUST+",D40&lt;&gt;"ADJUST-"),"Check movement",IF(J40="","Ready",IF(D40&lt;&gt;"IN","PO link needs IN",IF(AND(C40&lt;&gt;"",C40&lt;&gt;K40),"PO / SKU mismatch",IF(SUMPRODUCT(--('PurchaseOrders'!$A$7:$A$16=J40),--('PurchaseOrders'!$N$7:$N$16="Ready"))&lt;&gt;1,"Check PO link","Ready")))))))))))</f>
      </c>
      <c r="I40" s="17" t="str">
        <f>IF(H40&lt;&gt;"Ready","",IF(OR(D40="IN",D40="ADJUST+"),E40,-E40))</f>
      </c>
      <c r="J40" s="65"/>
      <c r="K40" t="str">
        <f>IF(COUNTA(A40:G40,J40)=0,"",IF(J40="",C40,IFERROR(INDEX('PurchaseOrders'!$C$7:$C$16,SUMPRODUCT(--('PurchaseOrders'!$A$7:$A$16=J40),ROW('PurchaseOrders'!$A$7:$A$16))-6),"")))</f>
      </c>
      <c r="L40" t="n">
        <f>L39+IF(AND(K40=SKUHistory!$C$4,H40="Ready",SKUHistory!$C$4&lt;&gt;"",ISNUMBER(SKUHistory!$F$4),ISNUMBER(SKUHistory!$I$4),B40&gt;=SKUHistory!$F$4,B40&lt;=SKUHistory!$I$4),1,0)</f>
        <v>2</v>
      </c>
      <c r="M40" t="str">
        <f>IF(AND(K40=SKUHistory!$C$4,H40="Ready",SKUHistory!$C$4&lt;&gt;"",ISNUMBER(SKUHistory!$F$4),ISNUMBER(SKUHistory!$I$4),B40&gt;=SKUHistory!$F$4,B40&lt;=SKUHistory!$I$4),L40,"")</f>
      </c>
    </row>
    <row r="41" ht="23" customHeight="1">
      <c r="A41" s="65"/>
      <c r="B41" s="63"/>
      <c r="C41" s="65"/>
      <c r="D41" s="65"/>
      <c r="E41" s="66"/>
      <c r="F41" s="65"/>
      <c r="G41" s="65"/>
      <c r="H41" s="6" t="str">
        <f>IF(COUNTA(A41:G41,J41)=0,"",IF(OR(A41="",B41="",K41="",D41="",COUNT(E41)&lt;&gt;1),"Missing inputs",IF(SUMPRODUCT(--('Transactions'!$A$7:$A$106=A41))&lt;&gt;1,"Duplicate ID",IF(SUMPRODUCT(--('Products'!$A$7:$A$16=K41),--('Products'!$P$7:$P$16="Ready"))&lt;&gt;1,"Check SKU",IF(OR(NOT(ISNUMBER(B41)),B41&lt;1,B41&gt;73415,MOD(B41,1)&lt;&gt;0),"Check date",IF(OR(E41&lt;=0,E41&gt;1000000000,MOD(E41,1)&lt;&gt;0),"Check quantity",IF(AND(D41&lt;&gt;"IN",D41&lt;&gt;"OUT",D41&lt;&gt;"ADJUST+",D41&lt;&gt;"ADJUST-"),"Check movement",IF(J41="","Ready",IF(D41&lt;&gt;"IN","PO link needs IN",IF(AND(C41&lt;&gt;"",C41&lt;&gt;K41),"PO / SKU mismatch",IF(SUMPRODUCT(--('PurchaseOrders'!$A$7:$A$16=J41),--('PurchaseOrders'!$N$7:$N$16="Ready"))&lt;&gt;1,"Check PO link","Ready")))))))))))</f>
      </c>
      <c r="I41" s="17" t="str">
        <f>IF(H41&lt;&gt;"Ready","",IF(OR(D41="IN",D41="ADJUST+"),E41,-E41))</f>
      </c>
      <c r="J41" s="65"/>
      <c r="K41" t="str">
        <f>IF(COUNTA(A41:G41,J41)=0,"",IF(J41="",C41,IFERROR(INDEX('PurchaseOrders'!$C$7:$C$16,SUMPRODUCT(--('PurchaseOrders'!$A$7:$A$16=J41),ROW('PurchaseOrders'!$A$7:$A$16))-6),"")))</f>
      </c>
      <c r="L41" t="n">
        <f>L40+IF(AND(K41=SKUHistory!$C$4,H41="Ready",SKUHistory!$C$4&lt;&gt;"",ISNUMBER(SKUHistory!$F$4),ISNUMBER(SKUHistory!$I$4),B41&gt;=SKUHistory!$F$4,B41&lt;=SKUHistory!$I$4),1,0)</f>
        <v>2</v>
      </c>
      <c r="M41" t="str">
        <f>IF(AND(K41=SKUHistory!$C$4,H41="Ready",SKUHistory!$C$4&lt;&gt;"",ISNUMBER(SKUHistory!$F$4),ISNUMBER(SKUHistory!$I$4),B41&gt;=SKUHistory!$F$4,B41&lt;=SKUHistory!$I$4),L41,"")</f>
      </c>
    </row>
    <row r="42" ht="23" customHeight="1">
      <c r="A42" s="65"/>
      <c r="B42" s="63"/>
      <c r="C42" s="65"/>
      <c r="D42" s="65"/>
      <c r="E42" s="66"/>
      <c r="F42" s="65"/>
      <c r="G42" s="65"/>
      <c r="H42" s="6" t="str">
        <f>IF(COUNTA(A42:G42,J42)=0,"",IF(OR(A42="",B42="",K42="",D42="",COUNT(E42)&lt;&gt;1),"Missing inputs",IF(SUMPRODUCT(--('Transactions'!$A$7:$A$106=A42))&lt;&gt;1,"Duplicate ID",IF(SUMPRODUCT(--('Products'!$A$7:$A$16=K42),--('Products'!$P$7:$P$16="Ready"))&lt;&gt;1,"Check SKU",IF(OR(NOT(ISNUMBER(B42)),B42&lt;1,B42&gt;73415,MOD(B42,1)&lt;&gt;0),"Check date",IF(OR(E42&lt;=0,E42&gt;1000000000,MOD(E42,1)&lt;&gt;0),"Check quantity",IF(AND(D42&lt;&gt;"IN",D42&lt;&gt;"OUT",D42&lt;&gt;"ADJUST+",D42&lt;&gt;"ADJUST-"),"Check movement",IF(J42="","Ready",IF(D42&lt;&gt;"IN","PO link needs IN",IF(AND(C42&lt;&gt;"",C42&lt;&gt;K42),"PO / SKU mismatch",IF(SUMPRODUCT(--('PurchaseOrders'!$A$7:$A$16=J42),--('PurchaseOrders'!$N$7:$N$16="Ready"))&lt;&gt;1,"Check PO link","Ready")))))))))))</f>
      </c>
      <c r="I42" s="17" t="str">
        <f>IF(H42&lt;&gt;"Ready","",IF(OR(D42="IN",D42="ADJUST+"),E42,-E42))</f>
      </c>
      <c r="J42" s="65"/>
      <c r="K42" t="str">
        <f>IF(COUNTA(A42:G42,J42)=0,"",IF(J42="",C42,IFERROR(INDEX('PurchaseOrders'!$C$7:$C$16,SUMPRODUCT(--('PurchaseOrders'!$A$7:$A$16=J42),ROW('PurchaseOrders'!$A$7:$A$16))-6),"")))</f>
      </c>
      <c r="L42" t="n">
        <f>L41+IF(AND(K42=SKUHistory!$C$4,H42="Ready",SKUHistory!$C$4&lt;&gt;"",ISNUMBER(SKUHistory!$F$4),ISNUMBER(SKUHistory!$I$4),B42&gt;=SKUHistory!$F$4,B42&lt;=SKUHistory!$I$4),1,0)</f>
        <v>2</v>
      </c>
      <c r="M42" t="str">
        <f>IF(AND(K42=SKUHistory!$C$4,H42="Ready",SKUHistory!$C$4&lt;&gt;"",ISNUMBER(SKUHistory!$F$4),ISNUMBER(SKUHistory!$I$4),B42&gt;=SKUHistory!$F$4,B42&lt;=SKUHistory!$I$4),L42,"")</f>
      </c>
    </row>
    <row r="43" ht="23" customHeight="1">
      <c r="A43" s="65"/>
      <c r="B43" s="63"/>
      <c r="C43" s="65"/>
      <c r="D43" s="65"/>
      <c r="E43" s="66"/>
      <c r="F43" s="65"/>
      <c r="G43" s="65"/>
      <c r="H43" s="6" t="str">
        <f>IF(COUNTA(A43:G43,J43)=0,"",IF(OR(A43="",B43="",K43="",D43="",COUNT(E43)&lt;&gt;1),"Missing inputs",IF(SUMPRODUCT(--('Transactions'!$A$7:$A$106=A43))&lt;&gt;1,"Duplicate ID",IF(SUMPRODUCT(--('Products'!$A$7:$A$16=K43),--('Products'!$P$7:$P$16="Ready"))&lt;&gt;1,"Check SKU",IF(OR(NOT(ISNUMBER(B43)),B43&lt;1,B43&gt;73415,MOD(B43,1)&lt;&gt;0),"Check date",IF(OR(E43&lt;=0,E43&gt;1000000000,MOD(E43,1)&lt;&gt;0),"Check quantity",IF(AND(D43&lt;&gt;"IN",D43&lt;&gt;"OUT",D43&lt;&gt;"ADJUST+",D43&lt;&gt;"ADJUST-"),"Check movement",IF(J43="","Ready",IF(D43&lt;&gt;"IN","PO link needs IN",IF(AND(C43&lt;&gt;"",C43&lt;&gt;K43),"PO / SKU mismatch",IF(SUMPRODUCT(--('PurchaseOrders'!$A$7:$A$16=J43),--('PurchaseOrders'!$N$7:$N$16="Ready"))&lt;&gt;1,"Check PO link","Ready")))))))))))</f>
      </c>
      <c r="I43" s="17" t="str">
        <f>IF(H43&lt;&gt;"Ready","",IF(OR(D43="IN",D43="ADJUST+"),E43,-E43))</f>
      </c>
      <c r="J43" s="65"/>
      <c r="K43" t="str">
        <f>IF(COUNTA(A43:G43,J43)=0,"",IF(J43="",C43,IFERROR(INDEX('PurchaseOrders'!$C$7:$C$16,SUMPRODUCT(--('PurchaseOrders'!$A$7:$A$16=J43),ROW('PurchaseOrders'!$A$7:$A$16))-6),"")))</f>
      </c>
      <c r="L43" t="n">
        <f>L42+IF(AND(K43=SKUHistory!$C$4,H43="Ready",SKUHistory!$C$4&lt;&gt;"",ISNUMBER(SKUHistory!$F$4),ISNUMBER(SKUHistory!$I$4),B43&gt;=SKUHistory!$F$4,B43&lt;=SKUHistory!$I$4),1,0)</f>
        <v>2</v>
      </c>
      <c r="M43" t="str">
        <f>IF(AND(K43=SKUHistory!$C$4,H43="Ready",SKUHistory!$C$4&lt;&gt;"",ISNUMBER(SKUHistory!$F$4),ISNUMBER(SKUHistory!$I$4),B43&gt;=SKUHistory!$F$4,B43&lt;=SKUHistory!$I$4),L43,"")</f>
      </c>
    </row>
    <row r="44" ht="23" customHeight="1">
      <c r="A44" s="65"/>
      <c r="B44" s="63"/>
      <c r="C44" s="65"/>
      <c r="D44" s="65"/>
      <c r="E44" s="66"/>
      <c r="F44" s="65"/>
      <c r="G44" s="65"/>
      <c r="H44" s="6" t="str">
        <f>IF(COUNTA(A44:G44,J44)=0,"",IF(OR(A44="",B44="",K44="",D44="",COUNT(E44)&lt;&gt;1),"Missing inputs",IF(SUMPRODUCT(--('Transactions'!$A$7:$A$106=A44))&lt;&gt;1,"Duplicate ID",IF(SUMPRODUCT(--('Products'!$A$7:$A$16=K44),--('Products'!$P$7:$P$16="Ready"))&lt;&gt;1,"Check SKU",IF(OR(NOT(ISNUMBER(B44)),B44&lt;1,B44&gt;73415,MOD(B44,1)&lt;&gt;0),"Check date",IF(OR(E44&lt;=0,E44&gt;1000000000,MOD(E44,1)&lt;&gt;0),"Check quantity",IF(AND(D44&lt;&gt;"IN",D44&lt;&gt;"OUT",D44&lt;&gt;"ADJUST+",D44&lt;&gt;"ADJUST-"),"Check movement",IF(J44="","Ready",IF(D44&lt;&gt;"IN","PO link needs IN",IF(AND(C44&lt;&gt;"",C44&lt;&gt;K44),"PO / SKU mismatch",IF(SUMPRODUCT(--('PurchaseOrders'!$A$7:$A$16=J44),--('PurchaseOrders'!$N$7:$N$16="Ready"))&lt;&gt;1,"Check PO link","Ready")))))))))))</f>
      </c>
      <c r="I44" s="17" t="str">
        <f>IF(H44&lt;&gt;"Ready","",IF(OR(D44="IN",D44="ADJUST+"),E44,-E44))</f>
      </c>
      <c r="J44" s="65"/>
      <c r="K44" t="str">
        <f>IF(COUNTA(A44:G44,J44)=0,"",IF(J44="",C44,IFERROR(INDEX('PurchaseOrders'!$C$7:$C$16,SUMPRODUCT(--('PurchaseOrders'!$A$7:$A$16=J44),ROW('PurchaseOrders'!$A$7:$A$16))-6),"")))</f>
      </c>
      <c r="L44" t="n">
        <f>L43+IF(AND(K44=SKUHistory!$C$4,H44="Ready",SKUHistory!$C$4&lt;&gt;"",ISNUMBER(SKUHistory!$F$4),ISNUMBER(SKUHistory!$I$4),B44&gt;=SKUHistory!$F$4,B44&lt;=SKUHistory!$I$4),1,0)</f>
        <v>2</v>
      </c>
      <c r="M44" t="str">
        <f>IF(AND(K44=SKUHistory!$C$4,H44="Ready",SKUHistory!$C$4&lt;&gt;"",ISNUMBER(SKUHistory!$F$4),ISNUMBER(SKUHistory!$I$4),B44&gt;=SKUHistory!$F$4,B44&lt;=SKUHistory!$I$4),L44,"")</f>
      </c>
    </row>
    <row r="45" ht="23" customHeight="1">
      <c r="A45" s="65"/>
      <c r="B45" s="63"/>
      <c r="C45" s="65"/>
      <c r="D45" s="65"/>
      <c r="E45" s="66"/>
      <c r="F45" s="65"/>
      <c r="G45" s="65"/>
      <c r="H45" s="6" t="str">
        <f>IF(COUNTA(A45:G45,J45)=0,"",IF(OR(A45="",B45="",K45="",D45="",COUNT(E45)&lt;&gt;1),"Missing inputs",IF(SUMPRODUCT(--('Transactions'!$A$7:$A$106=A45))&lt;&gt;1,"Duplicate ID",IF(SUMPRODUCT(--('Products'!$A$7:$A$16=K45),--('Products'!$P$7:$P$16="Ready"))&lt;&gt;1,"Check SKU",IF(OR(NOT(ISNUMBER(B45)),B45&lt;1,B45&gt;73415,MOD(B45,1)&lt;&gt;0),"Check date",IF(OR(E45&lt;=0,E45&gt;1000000000,MOD(E45,1)&lt;&gt;0),"Check quantity",IF(AND(D45&lt;&gt;"IN",D45&lt;&gt;"OUT",D45&lt;&gt;"ADJUST+",D45&lt;&gt;"ADJUST-"),"Check movement",IF(J45="","Ready",IF(D45&lt;&gt;"IN","PO link needs IN",IF(AND(C45&lt;&gt;"",C45&lt;&gt;K45),"PO / SKU mismatch",IF(SUMPRODUCT(--('PurchaseOrders'!$A$7:$A$16=J45),--('PurchaseOrders'!$N$7:$N$16="Ready"))&lt;&gt;1,"Check PO link","Ready")))))))))))</f>
      </c>
      <c r="I45" s="17" t="str">
        <f>IF(H45&lt;&gt;"Ready","",IF(OR(D45="IN",D45="ADJUST+"),E45,-E45))</f>
      </c>
      <c r="J45" s="65"/>
      <c r="K45" t="str">
        <f>IF(COUNTA(A45:G45,J45)=0,"",IF(J45="",C45,IFERROR(INDEX('PurchaseOrders'!$C$7:$C$16,SUMPRODUCT(--('PurchaseOrders'!$A$7:$A$16=J45),ROW('PurchaseOrders'!$A$7:$A$16))-6),"")))</f>
      </c>
      <c r="L45" t="n">
        <f>L44+IF(AND(K45=SKUHistory!$C$4,H45="Ready",SKUHistory!$C$4&lt;&gt;"",ISNUMBER(SKUHistory!$F$4),ISNUMBER(SKUHistory!$I$4),B45&gt;=SKUHistory!$F$4,B45&lt;=SKUHistory!$I$4),1,0)</f>
        <v>2</v>
      </c>
      <c r="M45" t="str">
        <f>IF(AND(K45=SKUHistory!$C$4,H45="Ready",SKUHistory!$C$4&lt;&gt;"",ISNUMBER(SKUHistory!$F$4),ISNUMBER(SKUHistory!$I$4),B45&gt;=SKUHistory!$F$4,B45&lt;=SKUHistory!$I$4),L45,"")</f>
      </c>
    </row>
    <row r="46" ht="23" customHeight="1">
      <c r="A46" s="65"/>
      <c r="B46" s="63"/>
      <c r="C46" s="65"/>
      <c r="D46" s="65"/>
      <c r="E46" s="66"/>
      <c r="F46" s="65"/>
      <c r="G46" s="65"/>
      <c r="H46" s="6" t="str">
        <f>IF(COUNTA(A46:G46,J46)=0,"",IF(OR(A46="",B46="",K46="",D46="",COUNT(E46)&lt;&gt;1),"Missing inputs",IF(SUMPRODUCT(--('Transactions'!$A$7:$A$106=A46))&lt;&gt;1,"Duplicate ID",IF(SUMPRODUCT(--('Products'!$A$7:$A$16=K46),--('Products'!$P$7:$P$16="Ready"))&lt;&gt;1,"Check SKU",IF(OR(NOT(ISNUMBER(B46)),B46&lt;1,B46&gt;73415,MOD(B46,1)&lt;&gt;0),"Check date",IF(OR(E46&lt;=0,E46&gt;1000000000,MOD(E46,1)&lt;&gt;0),"Check quantity",IF(AND(D46&lt;&gt;"IN",D46&lt;&gt;"OUT",D46&lt;&gt;"ADJUST+",D46&lt;&gt;"ADJUST-"),"Check movement",IF(J46="","Ready",IF(D46&lt;&gt;"IN","PO link needs IN",IF(AND(C46&lt;&gt;"",C46&lt;&gt;K46),"PO / SKU mismatch",IF(SUMPRODUCT(--('PurchaseOrders'!$A$7:$A$16=J46),--('PurchaseOrders'!$N$7:$N$16="Ready"))&lt;&gt;1,"Check PO link","Ready")))))))))))</f>
      </c>
      <c r="I46" s="17" t="str">
        <f>IF(H46&lt;&gt;"Ready","",IF(OR(D46="IN",D46="ADJUST+"),E46,-E46))</f>
      </c>
      <c r="J46" s="65"/>
      <c r="K46" t="str">
        <f>IF(COUNTA(A46:G46,J46)=0,"",IF(J46="",C46,IFERROR(INDEX('PurchaseOrders'!$C$7:$C$16,SUMPRODUCT(--('PurchaseOrders'!$A$7:$A$16=J46),ROW('PurchaseOrders'!$A$7:$A$16))-6),"")))</f>
      </c>
      <c r="L46" t="n">
        <f>L45+IF(AND(K46=SKUHistory!$C$4,H46="Ready",SKUHistory!$C$4&lt;&gt;"",ISNUMBER(SKUHistory!$F$4),ISNUMBER(SKUHistory!$I$4),B46&gt;=SKUHistory!$F$4,B46&lt;=SKUHistory!$I$4),1,0)</f>
        <v>2</v>
      </c>
      <c r="M46" t="str">
        <f>IF(AND(K46=SKUHistory!$C$4,H46="Ready",SKUHistory!$C$4&lt;&gt;"",ISNUMBER(SKUHistory!$F$4),ISNUMBER(SKUHistory!$I$4),B46&gt;=SKUHistory!$F$4,B46&lt;=SKUHistory!$I$4),L46,"")</f>
      </c>
    </row>
    <row r="47" ht="23" customHeight="1">
      <c r="A47" s="65"/>
      <c r="B47" s="63"/>
      <c r="C47" s="65"/>
      <c r="D47" s="65"/>
      <c r="E47" s="66"/>
      <c r="F47" s="65"/>
      <c r="G47" s="65"/>
      <c r="H47" s="6" t="str">
        <f>IF(COUNTA(A47:G47,J47)=0,"",IF(OR(A47="",B47="",K47="",D47="",COUNT(E47)&lt;&gt;1),"Missing inputs",IF(SUMPRODUCT(--('Transactions'!$A$7:$A$106=A47))&lt;&gt;1,"Duplicate ID",IF(SUMPRODUCT(--('Products'!$A$7:$A$16=K47),--('Products'!$P$7:$P$16="Ready"))&lt;&gt;1,"Check SKU",IF(OR(NOT(ISNUMBER(B47)),B47&lt;1,B47&gt;73415,MOD(B47,1)&lt;&gt;0),"Check date",IF(OR(E47&lt;=0,E47&gt;1000000000,MOD(E47,1)&lt;&gt;0),"Check quantity",IF(AND(D47&lt;&gt;"IN",D47&lt;&gt;"OUT",D47&lt;&gt;"ADJUST+",D47&lt;&gt;"ADJUST-"),"Check movement",IF(J47="","Ready",IF(D47&lt;&gt;"IN","PO link needs IN",IF(AND(C47&lt;&gt;"",C47&lt;&gt;K47),"PO / SKU mismatch",IF(SUMPRODUCT(--('PurchaseOrders'!$A$7:$A$16=J47),--('PurchaseOrders'!$N$7:$N$16="Ready"))&lt;&gt;1,"Check PO link","Ready")))))))))))</f>
      </c>
      <c r="I47" s="17" t="str">
        <f>IF(H47&lt;&gt;"Ready","",IF(OR(D47="IN",D47="ADJUST+"),E47,-E47))</f>
      </c>
      <c r="J47" s="65"/>
      <c r="K47" t="str">
        <f>IF(COUNTA(A47:G47,J47)=0,"",IF(J47="",C47,IFERROR(INDEX('PurchaseOrders'!$C$7:$C$16,SUMPRODUCT(--('PurchaseOrders'!$A$7:$A$16=J47),ROW('PurchaseOrders'!$A$7:$A$16))-6),"")))</f>
      </c>
      <c r="L47" t="n">
        <f>L46+IF(AND(K47=SKUHistory!$C$4,H47="Ready",SKUHistory!$C$4&lt;&gt;"",ISNUMBER(SKUHistory!$F$4),ISNUMBER(SKUHistory!$I$4),B47&gt;=SKUHistory!$F$4,B47&lt;=SKUHistory!$I$4),1,0)</f>
        <v>2</v>
      </c>
      <c r="M47" t="str">
        <f>IF(AND(K47=SKUHistory!$C$4,H47="Ready",SKUHistory!$C$4&lt;&gt;"",ISNUMBER(SKUHistory!$F$4),ISNUMBER(SKUHistory!$I$4),B47&gt;=SKUHistory!$F$4,B47&lt;=SKUHistory!$I$4),L47,"")</f>
      </c>
    </row>
    <row r="48" ht="23" customHeight="1">
      <c r="A48" s="65"/>
      <c r="B48" s="63"/>
      <c r="C48" s="65"/>
      <c r="D48" s="65"/>
      <c r="E48" s="66"/>
      <c r="F48" s="65"/>
      <c r="G48" s="65"/>
      <c r="H48" s="6" t="str">
        <f>IF(COUNTA(A48:G48,J48)=0,"",IF(OR(A48="",B48="",K48="",D48="",COUNT(E48)&lt;&gt;1),"Missing inputs",IF(SUMPRODUCT(--('Transactions'!$A$7:$A$106=A48))&lt;&gt;1,"Duplicate ID",IF(SUMPRODUCT(--('Products'!$A$7:$A$16=K48),--('Products'!$P$7:$P$16="Ready"))&lt;&gt;1,"Check SKU",IF(OR(NOT(ISNUMBER(B48)),B48&lt;1,B48&gt;73415,MOD(B48,1)&lt;&gt;0),"Check date",IF(OR(E48&lt;=0,E48&gt;1000000000,MOD(E48,1)&lt;&gt;0),"Check quantity",IF(AND(D48&lt;&gt;"IN",D48&lt;&gt;"OUT",D48&lt;&gt;"ADJUST+",D48&lt;&gt;"ADJUST-"),"Check movement",IF(J48="","Ready",IF(D48&lt;&gt;"IN","PO link needs IN",IF(AND(C48&lt;&gt;"",C48&lt;&gt;K48),"PO / SKU mismatch",IF(SUMPRODUCT(--('PurchaseOrders'!$A$7:$A$16=J48),--('PurchaseOrders'!$N$7:$N$16="Ready"))&lt;&gt;1,"Check PO link","Ready")))))))))))</f>
      </c>
      <c r="I48" s="17" t="str">
        <f>IF(H48&lt;&gt;"Ready","",IF(OR(D48="IN",D48="ADJUST+"),E48,-E48))</f>
      </c>
      <c r="J48" s="65"/>
      <c r="K48" t="str">
        <f>IF(COUNTA(A48:G48,J48)=0,"",IF(J48="",C48,IFERROR(INDEX('PurchaseOrders'!$C$7:$C$16,SUMPRODUCT(--('PurchaseOrders'!$A$7:$A$16=J48),ROW('PurchaseOrders'!$A$7:$A$16))-6),"")))</f>
      </c>
      <c r="L48" t="n">
        <f>L47+IF(AND(K48=SKUHistory!$C$4,H48="Ready",SKUHistory!$C$4&lt;&gt;"",ISNUMBER(SKUHistory!$F$4),ISNUMBER(SKUHistory!$I$4),B48&gt;=SKUHistory!$F$4,B48&lt;=SKUHistory!$I$4),1,0)</f>
        <v>2</v>
      </c>
      <c r="M48" t="str">
        <f>IF(AND(K48=SKUHistory!$C$4,H48="Ready",SKUHistory!$C$4&lt;&gt;"",ISNUMBER(SKUHistory!$F$4),ISNUMBER(SKUHistory!$I$4),B48&gt;=SKUHistory!$F$4,B48&lt;=SKUHistory!$I$4),L48,"")</f>
      </c>
    </row>
    <row r="49" ht="23" customHeight="1">
      <c r="A49" s="65"/>
      <c r="B49" s="63"/>
      <c r="C49" s="65"/>
      <c r="D49" s="65"/>
      <c r="E49" s="66"/>
      <c r="F49" s="65"/>
      <c r="G49" s="65"/>
      <c r="H49" s="6" t="str">
        <f>IF(COUNTA(A49:G49,J49)=0,"",IF(OR(A49="",B49="",K49="",D49="",COUNT(E49)&lt;&gt;1),"Missing inputs",IF(SUMPRODUCT(--('Transactions'!$A$7:$A$106=A49))&lt;&gt;1,"Duplicate ID",IF(SUMPRODUCT(--('Products'!$A$7:$A$16=K49),--('Products'!$P$7:$P$16="Ready"))&lt;&gt;1,"Check SKU",IF(OR(NOT(ISNUMBER(B49)),B49&lt;1,B49&gt;73415,MOD(B49,1)&lt;&gt;0),"Check date",IF(OR(E49&lt;=0,E49&gt;1000000000,MOD(E49,1)&lt;&gt;0),"Check quantity",IF(AND(D49&lt;&gt;"IN",D49&lt;&gt;"OUT",D49&lt;&gt;"ADJUST+",D49&lt;&gt;"ADJUST-"),"Check movement",IF(J49="","Ready",IF(D49&lt;&gt;"IN","PO link needs IN",IF(AND(C49&lt;&gt;"",C49&lt;&gt;K49),"PO / SKU mismatch",IF(SUMPRODUCT(--('PurchaseOrders'!$A$7:$A$16=J49),--('PurchaseOrders'!$N$7:$N$16="Ready"))&lt;&gt;1,"Check PO link","Ready")))))))))))</f>
      </c>
      <c r="I49" s="17" t="str">
        <f>IF(H49&lt;&gt;"Ready","",IF(OR(D49="IN",D49="ADJUST+"),E49,-E49))</f>
      </c>
      <c r="J49" s="65"/>
      <c r="K49" t="str">
        <f>IF(COUNTA(A49:G49,J49)=0,"",IF(J49="",C49,IFERROR(INDEX('PurchaseOrders'!$C$7:$C$16,SUMPRODUCT(--('PurchaseOrders'!$A$7:$A$16=J49),ROW('PurchaseOrders'!$A$7:$A$16))-6),"")))</f>
      </c>
      <c r="L49" t="n">
        <f>L48+IF(AND(K49=SKUHistory!$C$4,H49="Ready",SKUHistory!$C$4&lt;&gt;"",ISNUMBER(SKUHistory!$F$4),ISNUMBER(SKUHistory!$I$4),B49&gt;=SKUHistory!$F$4,B49&lt;=SKUHistory!$I$4),1,0)</f>
        <v>2</v>
      </c>
      <c r="M49" t="str">
        <f>IF(AND(K49=SKUHistory!$C$4,H49="Ready",SKUHistory!$C$4&lt;&gt;"",ISNUMBER(SKUHistory!$F$4),ISNUMBER(SKUHistory!$I$4),B49&gt;=SKUHistory!$F$4,B49&lt;=SKUHistory!$I$4),L49,"")</f>
      </c>
    </row>
    <row r="50" ht="23" customHeight="1">
      <c r="A50" s="65"/>
      <c r="B50" s="63"/>
      <c r="C50" s="65"/>
      <c r="D50" s="65"/>
      <c r="E50" s="66"/>
      <c r="F50" s="65"/>
      <c r="G50" s="65"/>
      <c r="H50" s="6" t="str">
        <f>IF(COUNTA(A50:G50,J50)=0,"",IF(OR(A50="",B50="",K50="",D50="",COUNT(E50)&lt;&gt;1),"Missing inputs",IF(SUMPRODUCT(--('Transactions'!$A$7:$A$106=A50))&lt;&gt;1,"Duplicate ID",IF(SUMPRODUCT(--('Products'!$A$7:$A$16=K50),--('Products'!$P$7:$P$16="Ready"))&lt;&gt;1,"Check SKU",IF(OR(NOT(ISNUMBER(B50)),B50&lt;1,B50&gt;73415,MOD(B50,1)&lt;&gt;0),"Check date",IF(OR(E50&lt;=0,E50&gt;1000000000,MOD(E50,1)&lt;&gt;0),"Check quantity",IF(AND(D50&lt;&gt;"IN",D50&lt;&gt;"OUT",D50&lt;&gt;"ADJUST+",D50&lt;&gt;"ADJUST-"),"Check movement",IF(J50="","Ready",IF(D50&lt;&gt;"IN","PO link needs IN",IF(AND(C50&lt;&gt;"",C50&lt;&gt;K50),"PO / SKU mismatch",IF(SUMPRODUCT(--('PurchaseOrders'!$A$7:$A$16=J50),--('PurchaseOrders'!$N$7:$N$16="Ready"))&lt;&gt;1,"Check PO link","Ready")))))))))))</f>
      </c>
      <c r="I50" s="17" t="str">
        <f>IF(H50&lt;&gt;"Ready","",IF(OR(D50="IN",D50="ADJUST+"),E50,-E50))</f>
      </c>
      <c r="J50" s="65"/>
      <c r="K50" t="str">
        <f>IF(COUNTA(A50:G50,J50)=0,"",IF(J50="",C50,IFERROR(INDEX('PurchaseOrders'!$C$7:$C$16,SUMPRODUCT(--('PurchaseOrders'!$A$7:$A$16=J50),ROW('PurchaseOrders'!$A$7:$A$16))-6),"")))</f>
      </c>
      <c r="L50" t="n">
        <f>L49+IF(AND(K50=SKUHistory!$C$4,H50="Ready",SKUHistory!$C$4&lt;&gt;"",ISNUMBER(SKUHistory!$F$4),ISNUMBER(SKUHistory!$I$4),B50&gt;=SKUHistory!$F$4,B50&lt;=SKUHistory!$I$4),1,0)</f>
        <v>2</v>
      </c>
      <c r="M50" t="str">
        <f>IF(AND(K50=SKUHistory!$C$4,H50="Ready",SKUHistory!$C$4&lt;&gt;"",ISNUMBER(SKUHistory!$F$4),ISNUMBER(SKUHistory!$I$4),B50&gt;=SKUHistory!$F$4,B50&lt;=SKUHistory!$I$4),L50,"")</f>
      </c>
    </row>
    <row r="51" ht="23" customHeight="1">
      <c r="A51" s="65"/>
      <c r="B51" s="63"/>
      <c r="C51" s="65"/>
      <c r="D51" s="65"/>
      <c r="E51" s="66"/>
      <c r="F51" s="65"/>
      <c r="G51" s="65"/>
      <c r="H51" s="6" t="str">
        <f>IF(COUNTA(A51:G51,J51)=0,"",IF(OR(A51="",B51="",K51="",D51="",COUNT(E51)&lt;&gt;1),"Missing inputs",IF(SUMPRODUCT(--('Transactions'!$A$7:$A$106=A51))&lt;&gt;1,"Duplicate ID",IF(SUMPRODUCT(--('Products'!$A$7:$A$16=K51),--('Products'!$P$7:$P$16="Ready"))&lt;&gt;1,"Check SKU",IF(OR(NOT(ISNUMBER(B51)),B51&lt;1,B51&gt;73415,MOD(B51,1)&lt;&gt;0),"Check date",IF(OR(E51&lt;=0,E51&gt;1000000000,MOD(E51,1)&lt;&gt;0),"Check quantity",IF(AND(D51&lt;&gt;"IN",D51&lt;&gt;"OUT",D51&lt;&gt;"ADJUST+",D51&lt;&gt;"ADJUST-"),"Check movement",IF(J51="","Ready",IF(D51&lt;&gt;"IN","PO link needs IN",IF(AND(C51&lt;&gt;"",C51&lt;&gt;K51),"PO / SKU mismatch",IF(SUMPRODUCT(--('PurchaseOrders'!$A$7:$A$16=J51),--('PurchaseOrders'!$N$7:$N$16="Ready"))&lt;&gt;1,"Check PO link","Ready")))))))))))</f>
      </c>
      <c r="I51" s="17" t="str">
        <f>IF(H51&lt;&gt;"Ready","",IF(OR(D51="IN",D51="ADJUST+"),E51,-E51))</f>
      </c>
      <c r="J51" s="65"/>
      <c r="K51" t="str">
        <f>IF(COUNTA(A51:G51,J51)=0,"",IF(J51="",C51,IFERROR(INDEX('PurchaseOrders'!$C$7:$C$16,SUMPRODUCT(--('PurchaseOrders'!$A$7:$A$16=J51),ROW('PurchaseOrders'!$A$7:$A$16))-6),"")))</f>
      </c>
      <c r="L51" t="n">
        <f>L50+IF(AND(K51=SKUHistory!$C$4,H51="Ready",SKUHistory!$C$4&lt;&gt;"",ISNUMBER(SKUHistory!$F$4),ISNUMBER(SKUHistory!$I$4),B51&gt;=SKUHistory!$F$4,B51&lt;=SKUHistory!$I$4),1,0)</f>
        <v>2</v>
      </c>
      <c r="M51" t="str">
        <f>IF(AND(K51=SKUHistory!$C$4,H51="Ready",SKUHistory!$C$4&lt;&gt;"",ISNUMBER(SKUHistory!$F$4),ISNUMBER(SKUHistory!$I$4),B51&gt;=SKUHistory!$F$4,B51&lt;=SKUHistory!$I$4),L51,"")</f>
      </c>
    </row>
    <row r="52" ht="23" customHeight="1">
      <c r="A52" s="65"/>
      <c r="B52" s="63"/>
      <c r="C52" s="65"/>
      <c r="D52" s="65"/>
      <c r="E52" s="66"/>
      <c r="F52" s="65"/>
      <c r="G52" s="65"/>
      <c r="H52" s="6" t="str">
        <f>IF(COUNTA(A52:G52,J52)=0,"",IF(OR(A52="",B52="",K52="",D52="",COUNT(E52)&lt;&gt;1),"Missing inputs",IF(SUMPRODUCT(--('Transactions'!$A$7:$A$106=A52))&lt;&gt;1,"Duplicate ID",IF(SUMPRODUCT(--('Products'!$A$7:$A$16=K52),--('Products'!$P$7:$P$16="Ready"))&lt;&gt;1,"Check SKU",IF(OR(NOT(ISNUMBER(B52)),B52&lt;1,B52&gt;73415,MOD(B52,1)&lt;&gt;0),"Check date",IF(OR(E52&lt;=0,E52&gt;1000000000,MOD(E52,1)&lt;&gt;0),"Check quantity",IF(AND(D52&lt;&gt;"IN",D52&lt;&gt;"OUT",D52&lt;&gt;"ADJUST+",D52&lt;&gt;"ADJUST-"),"Check movement",IF(J52="","Ready",IF(D52&lt;&gt;"IN","PO link needs IN",IF(AND(C52&lt;&gt;"",C52&lt;&gt;K52),"PO / SKU mismatch",IF(SUMPRODUCT(--('PurchaseOrders'!$A$7:$A$16=J52),--('PurchaseOrders'!$N$7:$N$16="Ready"))&lt;&gt;1,"Check PO link","Ready")))))))))))</f>
      </c>
      <c r="I52" s="17" t="str">
        <f>IF(H52&lt;&gt;"Ready","",IF(OR(D52="IN",D52="ADJUST+"),E52,-E52))</f>
      </c>
      <c r="J52" s="65"/>
      <c r="K52" t="str">
        <f>IF(COUNTA(A52:G52,J52)=0,"",IF(J52="",C52,IFERROR(INDEX('PurchaseOrders'!$C$7:$C$16,SUMPRODUCT(--('PurchaseOrders'!$A$7:$A$16=J52),ROW('PurchaseOrders'!$A$7:$A$16))-6),"")))</f>
      </c>
      <c r="L52" t="n">
        <f>L51+IF(AND(K52=SKUHistory!$C$4,H52="Ready",SKUHistory!$C$4&lt;&gt;"",ISNUMBER(SKUHistory!$F$4),ISNUMBER(SKUHistory!$I$4),B52&gt;=SKUHistory!$F$4,B52&lt;=SKUHistory!$I$4),1,0)</f>
        <v>2</v>
      </c>
      <c r="M52" t="str">
        <f>IF(AND(K52=SKUHistory!$C$4,H52="Ready",SKUHistory!$C$4&lt;&gt;"",ISNUMBER(SKUHistory!$F$4),ISNUMBER(SKUHistory!$I$4),B52&gt;=SKUHistory!$F$4,B52&lt;=SKUHistory!$I$4),L52,"")</f>
      </c>
    </row>
    <row r="53" ht="23" customHeight="1">
      <c r="A53" s="65"/>
      <c r="B53" s="63"/>
      <c r="C53" s="65"/>
      <c r="D53" s="65"/>
      <c r="E53" s="66"/>
      <c r="F53" s="65"/>
      <c r="G53" s="65"/>
      <c r="H53" s="6" t="str">
        <f>IF(COUNTA(A53:G53,J53)=0,"",IF(OR(A53="",B53="",K53="",D53="",COUNT(E53)&lt;&gt;1),"Missing inputs",IF(SUMPRODUCT(--('Transactions'!$A$7:$A$106=A53))&lt;&gt;1,"Duplicate ID",IF(SUMPRODUCT(--('Products'!$A$7:$A$16=K53),--('Products'!$P$7:$P$16="Ready"))&lt;&gt;1,"Check SKU",IF(OR(NOT(ISNUMBER(B53)),B53&lt;1,B53&gt;73415,MOD(B53,1)&lt;&gt;0),"Check date",IF(OR(E53&lt;=0,E53&gt;1000000000,MOD(E53,1)&lt;&gt;0),"Check quantity",IF(AND(D53&lt;&gt;"IN",D53&lt;&gt;"OUT",D53&lt;&gt;"ADJUST+",D53&lt;&gt;"ADJUST-"),"Check movement",IF(J53="","Ready",IF(D53&lt;&gt;"IN","PO link needs IN",IF(AND(C53&lt;&gt;"",C53&lt;&gt;K53),"PO / SKU mismatch",IF(SUMPRODUCT(--('PurchaseOrders'!$A$7:$A$16=J53),--('PurchaseOrders'!$N$7:$N$16="Ready"))&lt;&gt;1,"Check PO link","Ready")))))))))))</f>
      </c>
      <c r="I53" s="17" t="str">
        <f>IF(H53&lt;&gt;"Ready","",IF(OR(D53="IN",D53="ADJUST+"),E53,-E53))</f>
      </c>
      <c r="J53" s="65"/>
      <c r="K53" t="str">
        <f>IF(COUNTA(A53:G53,J53)=0,"",IF(J53="",C53,IFERROR(INDEX('PurchaseOrders'!$C$7:$C$16,SUMPRODUCT(--('PurchaseOrders'!$A$7:$A$16=J53),ROW('PurchaseOrders'!$A$7:$A$16))-6),"")))</f>
      </c>
      <c r="L53" t="n">
        <f>L52+IF(AND(K53=SKUHistory!$C$4,H53="Ready",SKUHistory!$C$4&lt;&gt;"",ISNUMBER(SKUHistory!$F$4),ISNUMBER(SKUHistory!$I$4),B53&gt;=SKUHistory!$F$4,B53&lt;=SKUHistory!$I$4),1,0)</f>
        <v>2</v>
      </c>
      <c r="M53" t="str">
        <f>IF(AND(K53=SKUHistory!$C$4,H53="Ready",SKUHistory!$C$4&lt;&gt;"",ISNUMBER(SKUHistory!$F$4),ISNUMBER(SKUHistory!$I$4),B53&gt;=SKUHistory!$F$4,B53&lt;=SKUHistory!$I$4),L53,"")</f>
      </c>
    </row>
    <row r="54" ht="23" customHeight="1">
      <c r="A54" s="65"/>
      <c r="B54" s="63"/>
      <c r="C54" s="65"/>
      <c r="D54" s="65"/>
      <c r="E54" s="66"/>
      <c r="F54" s="65"/>
      <c r="G54" s="65"/>
      <c r="H54" s="6" t="str">
        <f>IF(COUNTA(A54:G54,J54)=0,"",IF(OR(A54="",B54="",K54="",D54="",COUNT(E54)&lt;&gt;1),"Missing inputs",IF(SUMPRODUCT(--('Transactions'!$A$7:$A$106=A54))&lt;&gt;1,"Duplicate ID",IF(SUMPRODUCT(--('Products'!$A$7:$A$16=K54),--('Products'!$P$7:$P$16="Ready"))&lt;&gt;1,"Check SKU",IF(OR(NOT(ISNUMBER(B54)),B54&lt;1,B54&gt;73415,MOD(B54,1)&lt;&gt;0),"Check date",IF(OR(E54&lt;=0,E54&gt;1000000000,MOD(E54,1)&lt;&gt;0),"Check quantity",IF(AND(D54&lt;&gt;"IN",D54&lt;&gt;"OUT",D54&lt;&gt;"ADJUST+",D54&lt;&gt;"ADJUST-"),"Check movement",IF(J54="","Ready",IF(D54&lt;&gt;"IN","PO link needs IN",IF(AND(C54&lt;&gt;"",C54&lt;&gt;K54),"PO / SKU mismatch",IF(SUMPRODUCT(--('PurchaseOrders'!$A$7:$A$16=J54),--('PurchaseOrders'!$N$7:$N$16="Ready"))&lt;&gt;1,"Check PO link","Ready")))))))))))</f>
      </c>
      <c r="I54" s="17" t="str">
        <f>IF(H54&lt;&gt;"Ready","",IF(OR(D54="IN",D54="ADJUST+"),E54,-E54))</f>
      </c>
      <c r="J54" s="65"/>
      <c r="K54" t="str">
        <f>IF(COUNTA(A54:G54,J54)=0,"",IF(J54="",C54,IFERROR(INDEX('PurchaseOrders'!$C$7:$C$16,SUMPRODUCT(--('PurchaseOrders'!$A$7:$A$16=J54),ROW('PurchaseOrders'!$A$7:$A$16))-6),"")))</f>
      </c>
      <c r="L54" t="n">
        <f>L53+IF(AND(K54=SKUHistory!$C$4,H54="Ready",SKUHistory!$C$4&lt;&gt;"",ISNUMBER(SKUHistory!$F$4),ISNUMBER(SKUHistory!$I$4),B54&gt;=SKUHistory!$F$4,B54&lt;=SKUHistory!$I$4),1,0)</f>
        <v>2</v>
      </c>
      <c r="M54" t="str">
        <f>IF(AND(K54=SKUHistory!$C$4,H54="Ready",SKUHistory!$C$4&lt;&gt;"",ISNUMBER(SKUHistory!$F$4),ISNUMBER(SKUHistory!$I$4),B54&gt;=SKUHistory!$F$4,B54&lt;=SKUHistory!$I$4),L54,"")</f>
      </c>
    </row>
    <row r="55" ht="23" customHeight="1">
      <c r="A55" s="65"/>
      <c r="B55" s="63"/>
      <c r="C55" s="65"/>
      <c r="D55" s="65"/>
      <c r="E55" s="66"/>
      <c r="F55" s="65"/>
      <c r="G55" s="65"/>
      <c r="H55" s="6" t="str">
        <f>IF(COUNTA(A55:G55,J55)=0,"",IF(OR(A55="",B55="",K55="",D55="",COUNT(E55)&lt;&gt;1),"Missing inputs",IF(SUMPRODUCT(--('Transactions'!$A$7:$A$106=A55))&lt;&gt;1,"Duplicate ID",IF(SUMPRODUCT(--('Products'!$A$7:$A$16=K55),--('Products'!$P$7:$P$16="Ready"))&lt;&gt;1,"Check SKU",IF(OR(NOT(ISNUMBER(B55)),B55&lt;1,B55&gt;73415,MOD(B55,1)&lt;&gt;0),"Check date",IF(OR(E55&lt;=0,E55&gt;1000000000,MOD(E55,1)&lt;&gt;0),"Check quantity",IF(AND(D55&lt;&gt;"IN",D55&lt;&gt;"OUT",D55&lt;&gt;"ADJUST+",D55&lt;&gt;"ADJUST-"),"Check movement",IF(J55="","Ready",IF(D55&lt;&gt;"IN","PO link needs IN",IF(AND(C55&lt;&gt;"",C55&lt;&gt;K55),"PO / SKU mismatch",IF(SUMPRODUCT(--('PurchaseOrders'!$A$7:$A$16=J55),--('PurchaseOrders'!$N$7:$N$16="Ready"))&lt;&gt;1,"Check PO link","Ready")))))))))))</f>
      </c>
      <c r="I55" s="17" t="str">
        <f>IF(H55&lt;&gt;"Ready","",IF(OR(D55="IN",D55="ADJUST+"),E55,-E55))</f>
      </c>
      <c r="J55" s="65"/>
      <c r="K55" t="str">
        <f>IF(COUNTA(A55:G55,J55)=0,"",IF(J55="",C55,IFERROR(INDEX('PurchaseOrders'!$C$7:$C$16,SUMPRODUCT(--('PurchaseOrders'!$A$7:$A$16=J55),ROW('PurchaseOrders'!$A$7:$A$16))-6),"")))</f>
      </c>
      <c r="L55" t="n">
        <f>L54+IF(AND(K55=SKUHistory!$C$4,H55="Ready",SKUHistory!$C$4&lt;&gt;"",ISNUMBER(SKUHistory!$F$4),ISNUMBER(SKUHistory!$I$4),B55&gt;=SKUHistory!$F$4,B55&lt;=SKUHistory!$I$4),1,0)</f>
        <v>2</v>
      </c>
      <c r="M55" t="str">
        <f>IF(AND(K55=SKUHistory!$C$4,H55="Ready",SKUHistory!$C$4&lt;&gt;"",ISNUMBER(SKUHistory!$F$4),ISNUMBER(SKUHistory!$I$4),B55&gt;=SKUHistory!$F$4,B55&lt;=SKUHistory!$I$4),L55,"")</f>
      </c>
    </row>
    <row r="56" ht="23" customHeight="1">
      <c r="A56" s="65"/>
      <c r="B56" s="63"/>
      <c r="C56" s="65"/>
      <c r="D56" s="65"/>
      <c r="E56" s="66"/>
      <c r="F56" s="65"/>
      <c r="G56" s="65"/>
      <c r="H56" s="6" t="str">
        <f>IF(COUNTA(A56:G56,J56)=0,"",IF(OR(A56="",B56="",K56="",D56="",COUNT(E56)&lt;&gt;1),"Missing inputs",IF(SUMPRODUCT(--('Transactions'!$A$7:$A$106=A56))&lt;&gt;1,"Duplicate ID",IF(SUMPRODUCT(--('Products'!$A$7:$A$16=K56),--('Products'!$P$7:$P$16="Ready"))&lt;&gt;1,"Check SKU",IF(OR(NOT(ISNUMBER(B56)),B56&lt;1,B56&gt;73415,MOD(B56,1)&lt;&gt;0),"Check date",IF(OR(E56&lt;=0,E56&gt;1000000000,MOD(E56,1)&lt;&gt;0),"Check quantity",IF(AND(D56&lt;&gt;"IN",D56&lt;&gt;"OUT",D56&lt;&gt;"ADJUST+",D56&lt;&gt;"ADJUST-"),"Check movement",IF(J56="","Ready",IF(D56&lt;&gt;"IN","PO link needs IN",IF(AND(C56&lt;&gt;"",C56&lt;&gt;K56),"PO / SKU mismatch",IF(SUMPRODUCT(--('PurchaseOrders'!$A$7:$A$16=J56),--('PurchaseOrders'!$N$7:$N$16="Ready"))&lt;&gt;1,"Check PO link","Ready")))))))))))</f>
      </c>
      <c r="I56" s="17" t="str">
        <f>IF(H56&lt;&gt;"Ready","",IF(OR(D56="IN",D56="ADJUST+"),E56,-E56))</f>
      </c>
      <c r="J56" s="65"/>
      <c r="K56" t="str">
        <f>IF(COUNTA(A56:G56,J56)=0,"",IF(J56="",C56,IFERROR(INDEX('PurchaseOrders'!$C$7:$C$16,SUMPRODUCT(--('PurchaseOrders'!$A$7:$A$16=J56),ROW('PurchaseOrders'!$A$7:$A$16))-6),"")))</f>
      </c>
      <c r="L56" t="n">
        <f>L55+IF(AND(K56=SKUHistory!$C$4,H56="Ready",SKUHistory!$C$4&lt;&gt;"",ISNUMBER(SKUHistory!$F$4),ISNUMBER(SKUHistory!$I$4),B56&gt;=SKUHistory!$F$4,B56&lt;=SKUHistory!$I$4),1,0)</f>
        <v>2</v>
      </c>
      <c r="M56" t="str">
        <f>IF(AND(K56=SKUHistory!$C$4,H56="Ready",SKUHistory!$C$4&lt;&gt;"",ISNUMBER(SKUHistory!$F$4),ISNUMBER(SKUHistory!$I$4),B56&gt;=SKUHistory!$F$4,B56&lt;=SKUHistory!$I$4),L56,"")</f>
      </c>
    </row>
    <row r="57" ht="23" customHeight="1">
      <c r="A57" s="65"/>
      <c r="B57" s="63"/>
      <c r="C57" s="65"/>
      <c r="D57" s="65"/>
      <c r="E57" s="66"/>
      <c r="F57" s="65"/>
      <c r="G57" s="65"/>
      <c r="H57" s="6" t="str">
        <f>IF(COUNTA(A57:G57,J57)=0,"",IF(OR(A57="",B57="",K57="",D57="",COUNT(E57)&lt;&gt;1),"Missing inputs",IF(SUMPRODUCT(--('Transactions'!$A$7:$A$106=A57))&lt;&gt;1,"Duplicate ID",IF(SUMPRODUCT(--('Products'!$A$7:$A$16=K57),--('Products'!$P$7:$P$16="Ready"))&lt;&gt;1,"Check SKU",IF(OR(NOT(ISNUMBER(B57)),B57&lt;1,B57&gt;73415,MOD(B57,1)&lt;&gt;0),"Check date",IF(OR(E57&lt;=0,E57&gt;1000000000,MOD(E57,1)&lt;&gt;0),"Check quantity",IF(AND(D57&lt;&gt;"IN",D57&lt;&gt;"OUT",D57&lt;&gt;"ADJUST+",D57&lt;&gt;"ADJUST-"),"Check movement",IF(J57="","Ready",IF(D57&lt;&gt;"IN","PO link needs IN",IF(AND(C57&lt;&gt;"",C57&lt;&gt;K57),"PO / SKU mismatch",IF(SUMPRODUCT(--('PurchaseOrders'!$A$7:$A$16=J57),--('PurchaseOrders'!$N$7:$N$16="Ready"))&lt;&gt;1,"Check PO link","Ready")))))))))))</f>
      </c>
      <c r="I57" s="17" t="str">
        <f>IF(H57&lt;&gt;"Ready","",IF(OR(D57="IN",D57="ADJUST+"),E57,-E57))</f>
      </c>
      <c r="J57" s="65"/>
      <c r="K57" t="str">
        <f>IF(COUNTA(A57:G57,J57)=0,"",IF(J57="",C57,IFERROR(INDEX('PurchaseOrders'!$C$7:$C$16,SUMPRODUCT(--('PurchaseOrders'!$A$7:$A$16=J57),ROW('PurchaseOrders'!$A$7:$A$16))-6),"")))</f>
      </c>
      <c r="L57" t="n">
        <f>L56+IF(AND(K57=SKUHistory!$C$4,H57="Ready",SKUHistory!$C$4&lt;&gt;"",ISNUMBER(SKUHistory!$F$4),ISNUMBER(SKUHistory!$I$4),B57&gt;=SKUHistory!$F$4,B57&lt;=SKUHistory!$I$4),1,0)</f>
        <v>2</v>
      </c>
      <c r="M57" t="str">
        <f>IF(AND(K57=SKUHistory!$C$4,H57="Ready",SKUHistory!$C$4&lt;&gt;"",ISNUMBER(SKUHistory!$F$4),ISNUMBER(SKUHistory!$I$4),B57&gt;=SKUHistory!$F$4,B57&lt;=SKUHistory!$I$4),L57,"")</f>
      </c>
    </row>
    <row r="58" ht="23" customHeight="1">
      <c r="A58" s="65"/>
      <c r="B58" s="63"/>
      <c r="C58" s="65"/>
      <c r="D58" s="65"/>
      <c r="E58" s="66"/>
      <c r="F58" s="65"/>
      <c r="G58" s="65"/>
      <c r="H58" s="6" t="str">
        <f>IF(COUNTA(A58:G58,J58)=0,"",IF(OR(A58="",B58="",K58="",D58="",COUNT(E58)&lt;&gt;1),"Missing inputs",IF(SUMPRODUCT(--('Transactions'!$A$7:$A$106=A58))&lt;&gt;1,"Duplicate ID",IF(SUMPRODUCT(--('Products'!$A$7:$A$16=K58),--('Products'!$P$7:$P$16="Ready"))&lt;&gt;1,"Check SKU",IF(OR(NOT(ISNUMBER(B58)),B58&lt;1,B58&gt;73415,MOD(B58,1)&lt;&gt;0),"Check date",IF(OR(E58&lt;=0,E58&gt;1000000000,MOD(E58,1)&lt;&gt;0),"Check quantity",IF(AND(D58&lt;&gt;"IN",D58&lt;&gt;"OUT",D58&lt;&gt;"ADJUST+",D58&lt;&gt;"ADJUST-"),"Check movement",IF(J58="","Ready",IF(D58&lt;&gt;"IN","PO link needs IN",IF(AND(C58&lt;&gt;"",C58&lt;&gt;K58),"PO / SKU mismatch",IF(SUMPRODUCT(--('PurchaseOrders'!$A$7:$A$16=J58),--('PurchaseOrders'!$N$7:$N$16="Ready"))&lt;&gt;1,"Check PO link","Ready")))))))))))</f>
      </c>
      <c r="I58" s="17" t="str">
        <f>IF(H58&lt;&gt;"Ready","",IF(OR(D58="IN",D58="ADJUST+"),E58,-E58))</f>
      </c>
      <c r="J58" s="65"/>
      <c r="K58" t="str">
        <f>IF(COUNTA(A58:G58,J58)=0,"",IF(J58="",C58,IFERROR(INDEX('PurchaseOrders'!$C$7:$C$16,SUMPRODUCT(--('PurchaseOrders'!$A$7:$A$16=J58),ROW('PurchaseOrders'!$A$7:$A$16))-6),"")))</f>
      </c>
      <c r="L58" t="n">
        <f>L57+IF(AND(K58=SKUHistory!$C$4,H58="Ready",SKUHistory!$C$4&lt;&gt;"",ISNUMBER(SKUHistory!$F$4),ISNUMBER(SKUHistory!$I$4),B58&gt;=SKUHistory!$F$4,B58&lt;=SKUHistory!$I$4),1,0)</f>
        <v>2</v>
      </c>
      <c r="M58" t="str">
        <f>IF(AND(K58=SKUHistory!$C$4,H58="Ready",SKUHistory!$C$4&lt;&gt;"",ISNUMBER(SKUHistory!$F$4),ISNUMBER(SKUHistory!$I$4),B58&gt;=SKUHistory!$F$4,B58&lt;=SKUHistory!$I$4),L58,"")</f>
      </c>
    </row>
    <row r="59" ht="23" customHeight="1">
      <c r="A59" s="65"/>
      <c r="B59" s="63"/>
      <c r="C59" s="65"/>
      <c r="D59" s="65"/>
      <c r="E59" s="66"/>
      <c r="F59" s="65"/>
      <c r="G59" s="65"/>
      <c r="H59" s="6" t="str">
        <f>IF(COUNTA(A59:G59,J59)=0,"",IF(OR(A59="",B59="",K59="",D59="",COUNT(E59)&lt;&gt;1),"Missing inputs",IF(SUMPRODUCT(--('Transactions'!$A$7:$A$106=A59))&lt;&gt;1,"Duplicate ID",IF(SUMPRODUCT(--('Products'!$A$7:$A$16=K59),--('Products'!$P$7:$P$16="Ready"))&lt;&gt;1,"Check SKU",IF(OR(NOT(ISNUMBER(B59)),B59&lt;1,B59&gt;73415,MOD(B59,1)&lt;&gt;0),"Check date",IF(OR(E59&lt;=0,E59&gt;1000000000,MOD(E59,1)&lt;&gt;0),"Check quantity",IF(AND(D59&lt;&gt;"IN",D59&lt;&gt;"OUT",D59&lt;&gt;"ADJUST+",D59&lt;&gt;"ADJUST-"),"Check movement",IF(J59="","Ready",IF(D59&lt;&gt;"IN","PO link needs IN",IF(AND(C59&lt;&gt;"",C59&lt;&gt;K59),"PO / SKU mismatch",IF(SUMPRODUCT(--('PurchaseOrders'!$A$7:$A$16=J59),--('PurchaseOrders'!$N$7:$N$16="Ready"))&lt;&gt;1,"Check PO link","Ready")))))))))))</f>
      </c>
      <c r="I59" s="17" t="str">
        <f>IF(H59&lt;&gt;"Ready","",IF(OR(D59="IN",D59="ADJUST+"),E59,-E59))</f>
      </c>
      <c r="J59" s="65"/>
      <c r="K59" t="str">
        <f>IF(COUNTA(A59:G59,J59)=0,"",IF(J59="",C59,IFERROR(INDEX('PurchaseOrders'!$C$7:$C$16,SUMPRODUCT(--('PurchaseOrders'!$A$7:$A$16=J59),ROW('PurchaseOrders'!$A$7:$A$16))-6),"")))</f>
      </c>
      <c r="L59" t="n">
        <f>L58+IF(AND(K59=SKUHistory!$C$4,H59="Ready",SKUHistory!$C$4&lt;&gt;"",ISNUMBER(SKUHistory!$F$4),ISNUMBER(SKUHistory!$I$4),B59&gt;=SKUHistory!$F$4,B59&lt;=SKUHistory!$I$4),1,0)</f>
        <v>2</v>
      </c>
      <c r="M59" t="str">
        <f>IF(AND(K59=SKUHistory!$C$4,H59="Ready",SKUHistory!$C$4&lt;&gt;"",ISNUMBER(SKUHistory!$F$4),ISNUMBER(SKUHistory!$I$4),B59&gt;=SKUHistory!$F$4,B59&lt;=SKUHistory!$I$4),L59,"")</f>
      </c>
    </row>
    <row r="60" ht="23" customHeight="1">
      <c r="A60" s="65"/>
      <c r="B60" s="63"/>
      <c r="C60" s="65"/>
      <c r="D60" s="65"/>
      <c r="E60" s="66"/>
      <c r="F60" s="65"/>
      <c r="G60" s="65"/>
      <c r="H60" s="6" t="str">
        <f>IF(COUNTA(A60:G60,J60)=0,"",IF(OR(A60="",B60="",K60="",D60="",COUNT(E60)&lt;&gt;1),"Missing inputs",IF(SUMPRODUCT(--('Transactions'!$A$7:$A$106=A60))&lt;&gt;1,"Duplicate ID",IF(SUMPRODUCT(--('Products'!$A$7:$A$16=K60),--('Products'!$P$7:$P$16="Ready"))&lt;&gt;1,"Check SKU",IF(OR(NOT(ISNUMBER(B60)),B60&lt;1,B60&gt;73415,MOD(B60,1)&lt;&gt;0),"Check date",IF(OR(E60&lt;=0,E60&gt;1000000000,MOD(E60,1)&lt;&gt;0),"Check quantity",IF(AND(D60&lt;&gt;"IN",D60&lt;&gt;"OUT",D60&lt;&gt;"ADJUST+",D60&lt;&gt;"ADJUST-"),"Check movement",IF(J60="","Ready",IF(D60&lt;&gt;"IN","PO link needs IN",IF(AND(C60&lt;&gt;"",C60&lt;&gt;K60),"PO / SKU mismatch",IF(SUMPRODUCT(--('PurchaseOrders'!$A$7:$A$16=J60),--('PurchaseOrders'!$N$7:$N$16="Ready"))&lt;&gt;1,"Check PO link","Ready")))))))))))</f>
      </c>
      <c r="I60" s="17" t="str">
        <f>IF(H60&lt;&gt;"Ready","",IF(OR(D60="IN",D60="ADJUST+"),E60,-E60))</f>
      </c>
      <c r="J60" s="65"/>
      <c r="K60" t="str">
        <f>IF(COUNTA(A60:G60,J60)=0,"",IF(J60="",C60,IFERROR(INDEX('PurchaseOrders'!$C$7:$C$16,SUMPRODUCT(--('PurchaseOrders'!$A$7:$A$16=J60),ROW('PurchaseOrders'!$A$7:$A$16))-6),"")))</f>
      </c>
      <c r="L60" t="n">
        <f>L59+IF(AND(K60=SKUHistory!$C$4,H60="Ready",SKUHistory!$C$4&lt;&gt;"",ISNUMBER(SKUHistory!$F$4),ISNUMBER(SKUHistory!$I$4),B60&gt;=SKUHistory!$F$4,B60&lt;=SKUHistory!$I$4),1,0)</f>
        <v>2</v>
      </c>
      <c r="M60" t="str">
        <f>IF(AND(K60=SKUHistory!$C$4,H60="Ready",SKUHistory!$C$4&lt;&gt;"",ISNUMBER(SKUHistory!$F$4),ISNUMBER(SKUHistory!$I$4),B60&gt;=SKUHistory!$F$4,B60&lt;=SKUHistory!$I$4),L60,"")</f>
      </c>
    </row>
    <row r="61" ht="23" customHeight="1">
      <c r="A61" s="65"/>
      <c r="B61" s="63"/>
      <c r="C61" s="65"/>
      <c r="D61" s="65"/>
      <c r="E61" s="66"/>
      <c r="F61" s="65"/>
      <c r="G61" s="65"/>
      <c r="H61" s="6" t="str">
        <f>IF(COUNTA(A61:G61,J61)=0,"",IF(OR(A61="",B61="",K61="",D61="",COUNT(E61)&lt;&gt;1),"Missing inputs",IF(SUMPRODUCT(--('Transactions'!$A$7:$A$106=A61))&lt;&gt;1,"Duplicate ID",IF(SUMPRODUCT(--('Products'!$A$7:$A$16=K61),--('Products'!$P$7:$P$16="Ready"))&lt;&gt;1,"Check SKU",IF(OR(NOT(ISNUMBER(B61)),B61&lt;1,B61&gt;73415,MOD(B61,1)&lt;&gt;0),"Check date",IF(OR(E61&lt;=0,E61&gt;1000000000,MOD(E61,1)&lt;&gt;0),"Check quantity",IF(AND(D61&lt;&gt;"IN",D61&lt;&gt;"OUT",D61&lt;&gt;"ADJUST+",D61&lt;&gt;"ADJUST-"),"Check movement",IF(J61="","Ready",IF(D61&lt;&gt;"IN","PO link needs IN",IF(AND(C61&lt;&gt;"",C61&lt;&gt;K61),"PO / SKU mismatch",IF(SUMPRODUCT(--('PurchaseOrders'!$A$7:$A$16=J61),--('PurchaseOrders'!$N$7:$N$16="Ready"))&lt;&gt;1,"Check PO link","Ready")))))))))))</f>
      </c>
      <c r="I61" s="17" t="str">
        <f>IF(H61&lt;&gt;"Ready","",IF(OR(D61="IN",D61="ADJUST+"),E61,-E61))</f>
      </c>
      <c r="J61" s="65"/>
      <c r="K61" t="str">
        <f>IF(COUNTA(A61:G61,J61)=0,"",IF(J61="",C61,IFERROR(INDEX('PurchaseOrders'!$C$7:$C$16,SUMPRODUCT(--('PurchaseOrders'!$A$7:$A$16=J61),ROW('PurchaseOrders'!$A$7:$A$16))-6),"")))</f>
      </c>
      <c r="L61" t="n">
        <f>L60+IF(AND(K61=SKUHistory!$C$4,H61="Ready",SKUHistory!$C$4&lt;&gt;"",ISNUMBER(SKUHistory!$F$4),ISNUMBER(SKUHistory!$I$4),B61&gt;=SKUHistory!$F$4,B61&lt;=SKUHistory!$I$4),1,0)</f>
        <v>2</v>
      </c>
      <c r="M61" t="str">
        <f>IF(AND(K61=SKUHistory!$C$4,H61="Ready",SKUHistory!$C$4&lt;&gt;"",ISNUMBER(SKUHistory!$F$4),ISNUMBER(SKUHistory!$I$4),B61&gt;=SKUHistory!$F$4,B61&lt;=SKUHistory!$I$4),L61,"")</f>
      </c>
    </row>
    <row r="62" ht="23" customHeight="1">
      <c r="A62" s="65"/>
      <c r="B62" s="63"/>
      <c r="C62" s="65"/>
      <c r="D62" s="65"/>
      <c r="E62" s="66"/>
      <c r="F62" s="65"/>
      <c r="G62" s="65"/>
      <c r="H62" s="6" t="str">
        <f>IF(COUNTA(A62:G62,J62)=0,"",IF(OR(A62="",B62="",K62="",D62="",COUNT(E62)&lt;&gt;1),"Missing inputs",IF(SUMPRODUCT(--('Transactions'!$A$7:$A$106=A62))&lt;&gt;1,"Duplicate ID",IF(SUMPRODUCT(--('Products'!$A$7:$A$16=K62),--('Products'!$P$7:$P$16="Ready"))&lt;&gt;1,"Check SKU",IF(OR(NOT(ISNUMBER(B62)),B62&lt;1,B62&gt;73415,MOD(B62,1)&lt;&gt;0),"Check date",IF(OR(E62&lt;=0,E62&gt;1000000000,MOD(E62,1)&lt;&gt;0),"Check quantity",IF(AND(D62&lt;&gt;"IN",D62&lt;&gt;"OUT",D62&lt;&gt;"ADJUST+",D62&lt;&gt;"ADJUST-"),"Check movement",IF(J62="","Ready",IF(D62&lt;&gt;"IN","PO link needs IN",IF(AND(C62&lt;&gt;"",C62&lt;&gt;K62),"PO / SKU mismatch",IF(SUMPRODUCT(--('PurchaseOrders'!$A$7:$A$16=J62),--('PurchaseOrders'!$N$7:$N$16="Ready"))&lt;&gt;1,"Check PO link","Ready")))))))))))</f>
      </c>
      <c r="I62" s="17" t="str">
        <f>IF(H62&lt;&gt;"Ready","",IF(OR(D62="IN",D62="ADJUST+"),E62,-E62))</f>
      </c>
      <c r="J62" s="65"/>
      <c r="K62" t="str">
        <f>IF(COUNTA(A62:G62,J62)=0,"",IF(J62="",C62,IFERROR(INDEX('PurchaseOrders'!$C$7:$C$16,SUMPRODUCT(--('PurchaseOrders'!$A$7:$A$16=J62),ROW('PurchaseOrders'!$A$7:$A$16))-6),"")))</f>
      </c>
      <c r="L62" t="n">
        <f>L61+IF(AND(K62=SKUHistory!$C$4,H62="Ready",SKUHistory!$C$4&lt;&gt;"",ISNUMBER(SKUHistory!$F$4),ISNUMBER(SKUHistory!$I$4),B62&gt;=SKUHistory!$F$4,B62&lt;=SKUHistory!$I$4),1,0)</f>
        <v>2</v>
      </c>
      <c r="M62" t="str">
        <f>IF(AND(K62=SKUHistory!$C$4,H62="Ready",SKUHistory!$C$4&lt;&gt;"",ISNUMBER(SKUHistory!$F$4),ISNUMBER(SKUHistory!$I$4),B62&gt;=SKUHistory!$F$4,B62&lt;=SKUHistory!$I$4),L62,"")</f>
      </c>
    </row>
    <row r="63" ht="23" customHeight="1">
      <c r="A63" s="65"/>
      <c r="B63" s="63"/>
      <c r="C63" s="65"/>
      <c r="D63" s="65"/>
      <c r="E63" s="66"/>
      <c r="F63" s="65"/>
      <c r="G63" s="65"/>
      <c r="H63" s="6" t="str">
        <f>IF(COUNTA(A63:G63,J63)=0,"",IF(OR(A63="",B63="",K63="",D63="",COUNT(E63)&lt;&gt;1),"Missing inputs",IF(SUMPRODUCT(--('Transactions'!$A$7:$A$106=A63))&lt;&gt;1,"Duplicate ID",IF(SUMPRODUCT(--('Products'!$A$7:$A$16=K63),--('Products'!$P$7:$P$16="Ready"))&lt;&gt;1,"Check SKU",IF(OR(NOT(ISNUMBER(B63)),B63&lt;1,B63&gt;73415,MOD(B63,1)&lt;&gt;0),"Check date",IF(OR(E63&lt;=0,E63&gt;1000000000,MOD(E63,1)&lt;&gt;0),"Check quantity",IF(AND(D63&lt;&gt;"IN",D63&lt;&gt;"OUT",D63&lt;&gt;"ADJUST+",D63&lt;&gt;"ADJUST-"),"Check movement",IF(J63="","Ready",IF(D63&lt;&gt;"IN","PO link needs IN",IF(AND(C63&lt;&gt;"",C63&lt;&gt;K63),"PO / SKU mismatch",IF(SUMPRODUCT(--('PurchaseOrders'!$A$7:$A$16=J63),--('PurchaseOrders'!$N$7:$N$16="Ready"))&lt;&gt;1,"Check PO link","Ready")))))))))))</f>
      </c>
      <c r="I63" s="17" t="str">
        <f>IF(H63&lt;&gt;"Ready","",IF(OR(D63="IN",D63="ADJUST+"),E63,-E63))</f>
      </c>
      <c r="J63" s="65"/>
      <c r="K63" t="str">
        <f>IF(COUNTA(A63:G63,J63)=0,"",IF(J63="",C63,IFERROR(INDEX('PurchaseOrders'!$C$7:$C$16,SUMPRODUCT(--('PurchaseOrders'!$A$7:$A$16=J63),ROW('PurchaseOrders'!$A$7:$A$16))-6),"")))</f>
      </c>
      <c r="L63" t="n">
        <f>L62+IF(AND(K63=SKUHistory!$C$4,H63="Ready",SKUHistory!$C$4&lt;&gt;"",ISNUMBER(SKUHistory!$F$4),ISNUMBER(SKUHistory!$I$4),B63&gt;=SKUHistory!$F$4,B63&lt;=SKUHistory!$I$4),1,0)</f>
        <v>2</v>
      </c>
      <c r="M63" t="str">
        <f>IF(AND(K63=SKUHistory!$C$4,H63="Ready",SKUHistory!$C$4&lt;&gt;"",ISNUMBER(SKUHistory!$F$4),ISNUMBER(SKUHistory!$I$4),B63&gt;=SKUHistory!$F$4,B63&lt;=SKUHistory!$I$4),L63,"")</f>
      </c>
    </row>
    <row r="64" ht="23" customHeight="1">
      <c r="A64" s="65"/>
      <c r="B64" s="63"/>
      <c r="C64" s="65"/>
      <c r="D64" s="65"/>
      <c r="E64" s="66"/>
      <c r="F64" s="65"/>
      <c r="G64" s="65"/>
      <c r="H64" s="6" t="str">
        <f>IF(COUNTA(A64:G64,J64)=0,"",IF(OR(A64="",B64="",K64="",D64="",COUNT(E64)&lt;&gt;1),"Missing inputs",IF(SUMPRODUCT(--('Transactions'!$A$7:$A$106=A64))&lt;&gt;1,"Duplicate ID",IF(SUMPRODUCT(--('Products'!$A$7:$A$16=K64),--('Products'!$P$7:$P$16="Ready"))&lt;&gt;1,"Check SKU",IF(OR(NOT(ISNUMBER(B64)),B64&lt;1,B64&gt;73415,MOD(B64,1)&lt;&gt;0),"Check date",IF(OR(E64&lt;=0,E64&gt;1000000000,MOD(E64,1)&lt;&gt;0),"Check quantity",IF(AND(D64&lt;&gt;"IN",D64&lt;&gt;"OUT",D64&lt;&gt;"ADJUST+",D64&lt;&gt;"ADJUST-"),"Check movement",IF(J64="","Ready",IF(D64&lt;&gt;"IN","PO link needs IN",IF(AND(C64&lt;&gt;"",C64&lt;&gt;K64),"PO / SKU mismatch",IF(SUMPRODUCT(--('PurchaseOrders'!$A$7:$A$16=J64),--('PurchaseOrders'!$N$7:$N$16="Ready"))&lt;&gt;1,"Check PO link","Ready")))))))))))</f>
      </c>
      <c r="I64" s="17" t="str">
        <f>IF(H64&lt;&gt;"Ready","",IF(OR(D64="IN",D64="ADJUST+"),E64,-E64))</f>
      </c>
      <c r="J64" s="65"/>
      <c r="K64" t="str">
        <f>IF(COUNTA(A64:G64,J64)=0,"",IF(J64="",C64,IFERROR(INDEX('PurchaseOrders'!$C$7:$C$16,SUMPRODUCT(--('PurchaseOrders'!$A$7:$A$16=J64),ROW('PurchaseOrders'!$A$7:$A$16))-6),"")))</f>
      </c>
      <c r="L64" t="n">
        <f>L63+IF(AND(K64=SKUHistory!$C$4,H64="Ready",SKUHistory!$C$4&lt;&gt;"",ISNUMBER(SKUHistory!$F$4),ISNUMBER(SKUHistory!$I$4),B64&gt;=SKUHistory!$F$4,B64&lt;=SKUHistory!$I$4),1,0)</f>
        <v>2</v>
      </c>
      <c r="M64" t="str">
        <f>IF(AND(K64=SKUHistory!$C$4,H64="Ready",SKUHistory!$C$4&lt;&gt;"",ISNUMBER(SKUHistory!$F$4),ISNUMBER(SKUHistory!$I$4),B64&gt;=SKUHistory!$F$4,B64&lt;=SKUHistory!$I$4),L64,"")</f>
      </c>
    </row>
    <row r="65" ht="23" customHeight="1">
      <c r="A65" s="65"/>
      <c r="B65" s="63"/>
      <c r="C65" s="65"/>
      <c r="D65" s="65"/>
      <c r="E65" s="66"/>
      <c r="F65" s="65"/>
      <c r="G65" s="65"/>
      <c r="H65" s="6" t="str">
        <f>IF(COUNTA(A65:G65,J65)=0,"",IF(OR(A65="",B65="",K65="",D65="",COUNT(E65)&lt;&gt;1),"Missing inputs",IF(SUMPRODUCT(--('Transactions'!$A$7:$A$106=A65))&lt;&gt;1,"Duplicate ID",IF(SUMPRODUCT(--('Products'!$A$7:$A$16=K65),--('Products'!$P$7:$P$16="Ready"))&lt;&gt;1,"Check SKU",IF(OR(NOT(ISNUMBER(B65)),B65&lt;1,B65&gt;73415,MOD(B65,1)&lt;&gt;0),"Check date",IF(OR(E65&lt;=0,E65&gt;1000000000,MOD(E65,1)&lt;&gt;0),"Check quantity",IF(AND(D65&lt;&gt;"IN",D65&lt;&gt;"OUT",D65&lt;&gt;"ADJUST+",D65&lt;&gt;"ADJUST-"),"Check movement",IF(J65="","Ready",IF(D65&lt;&gt;"IN","PO link needs IN",IF(AND(C65&lt;&gt;"",C65&lt;&gt;K65),"PO / SKU mismatch",IF(SUMPRODUCT(--('PurchaseOrders'!$A$7:$A$16=J65),--('PurchaseOrders'!$N$7:$N$16="Ready"))&lt;&gt;1,"Check PO link","Ready")))))))))))</f>
      </c>
      <c r="I65" s="17" t="str">
        <f>IF(H65&lt;&gt;"Ready","",IF(OR(D65="IN",D65="ADJUST+"),E65,-E65))</f>
      </c>
      <c r="J65" s="65"/>
      <c r="K65" t="str">
        <f>IF(COUNTA(A65:G65,J65)=0,"",IF(J65="",C65,IFERROR(INDEX('PurchaseOrders'!$C$7:$C$16,SUMPRODUCT(--('PurchaseOrders'!$A$7:$A$16=J65),ROW('PurchaseOrders'!$A$7:$A$16))-6),"")))</f>
      </c>
      <c r="L65" t="n">
        <f>L64+IF(AND(K65=SKUHistory!$C$4,H65="Ready",SKUHistory!$C$4&lt;&gt;"",ISNUMBER(SKUHistory!$F$4),ISNUMBER(SKUHistory!$I$4),B65&gt;=SKUHistory!$F$4,B65&lt;=SKUHistory!$I$4),1,0)</f>
        <v>2</v>
      </c>
      <c r="M65" t="str">
        <f>IF(AND(K65=SKUHistory!$C$4,H65="Ready",SKUHistory!$C$4&lt;&gt;"",ISNUMBER(SKUHistory!$F$4),ISNUMBER(SKUHistory!$I$4),B65&gt;=SKUHistory!$F$4,B65&lt;=SKUHistory!$I$4),L65,"")</f>
      </c>
    </row>
    <row r="66" ht="23" customHeight="1">
      <c r="A66" s="65"/>
      <c r="B66" s="63"/>
      <c r="C66" s="65"/>
      <c r="D66" s="65"/>
      <c r="E66" s="66"/>
      <c r="F66" s="65"/>
      <c r="G66" s="65"/>
      <c r="H66" s="6" t="str">
        <f>IF(COUNTA(A66:G66,J66)=0,"",IF(OR(A66="",B66="",K66="",D66="",COUNT(E66)&lt;&gt;1),"Missing inputs",IF(SUMPRODUCT(--('Transactions'!$A$7:$A$106=A66))&lt;&gt;1,"Duplicate ID",IF(SUMPRODUCT(--('Products'!$A$7:$A$16=K66),--('Products'!$P$7:$P$16="Ready"))&lt;&gt;1,"Check SKU",IF(OR(NOT(ISNUMBER(B66)),B66&lt;1,B66&gt;73415,MOD(B66,1)&lt;&gt;0),"Check date",IF(OR(E66&lt;=0,E66&gt;1000000000,MOD(E66,1)&lt;&gt;0),"Check quantity",IF(AND(D66&lt;&gt;"IN",D66&lt;&gt;"OUT",D66&lt;&gt;"ADJUST+",D66&lt;&gt;"ADJUST-"),"Check movement",IF(J66="","Ready",IF(D66&lt;&gt;"IN","PO link needs IN",IF(AND(C66&lt;&gt;"",C66&lt;&gt;K66),"PO / SKU mismatch",IF(SUMPRODUCT(--('PurchaseOrders'!$A$7:$A$16=J66),--('PurchaseOrders'!$N$7:$N$16="Ready"))&lt;&gt;1,"Check PO link","Ready")))))))))))</f>
      </c>
      <c r="I66" s="17" t="str">
        <f>IF(H66&lt;&gt;"Ready","",IF(OR(D66="IN",D66="ADJUST+"),E66,-E66))</f>
      </c>
      <c r="J66" s="65"/>
      <c r="K66" t="str">
        <f>IF(COUNTA(A66:G66,J66)=0,"",IF(J66="",C66,IFERROR(INDEX('PurchaseOrders'!$C$7:$C$16,SUMPRODUCT(--('PurchaseOrders'!$A$7:$A$16=J66),ROW('PurchaseOrders'!$A$7:$A$16))-6),"")))</f>
      </c>
      <c r="L66" t="n">
        <f>L65+IF(AND(K66=SKUHistory!$C$4,H66="Ready",SKUHistory!$C$4&lt;&gt;"",ISNUMBER(SKUHistory!$F$4),ISNUMBER(SKUHistory!$I$4),B66&gt;=SKUHistory!$F$4,B66&lt;=SKUHistory!$I$4),1,0)</f>
        <v>2</v>
      </c>
      <c r="M66" t="str">
        <f>IF(AND(K66=SKUHistory!$C$4,H66="Ready",SKUHistory!$C$4&lt;&gt;"",ISNUMBER(SKUHistory!$F$4),ISNUMBER(SKUHistory!$I$4),B66&gt;=SKUHistory!$F$4,B66&lt;=SKUHistory!$I$4),L66,"")</f>
      </c>
    </row>
    <row r="67" ht="23" customHeight="1">
      <c r="A67" s="65"/>
      <c r="B67" s="63"/>
      <c r="C67" s="65"/>
      <c r="D67" s="65"/>
      <c r="E67" s="66"/>
      <c r="F67" s="65"/>
      <c r="G67" s="65"/>
      <c r="H67" s="6" t="str">
        <f>IF(COUNTA(A67:G67,J67)=0,"",IF(OR(A67="",B67="",K67="",D67="",COUNT(E67)&lt;&gt;1),"Missing inputs",IF(SUMPRODUCT(--('Transactions'!$A$7:$A$106=A67))&lt;&gt;1,"Duplicate ID",IF(SUMPRODUCT(--('Products'!$A$7:$A$16=K67),--('Products'!$P$7:$P$16="Ready"))&lt;&gt;1,"Check SKU",IF(OR(NOT(ISNUMBER(B67)),B67&lt;1,B67&gt;73415,MOD(B67,1)&lt;&gt;0),"Check date",IF(OR(E67&lt;=0,E67&gt;1000000000,MOD(E67,1)&lt;&gt;0),"Check quantity",IF(AND(D67&lt;&gt;"IN",D67&lt;&gt;"OUT",D67&lt;&gt;"ADJUST+",D67&lt;&gt;"ADJUST-"),"Check movement",IF(J67="","Ready",IF(D67&lt;&gt;"IN","PO link needs IN",IF(AND(C67&lt;&gt;"",C67&lt;&gt;K67),"PO / SKU mismatch",IF(SUMPRODUCT(--('PurchaseOrders'!$A$7:$A$16=J67),--('PurchaseOrders'!$N$7:$N$16="Ready"))&lt;&gt;1,"Check PO link","Ready")))))))))))</f>
      </c>
      <c r="I67" s="17" t="str">
        <f>IF(H67&lt;&gt;"Ready","",IF(OR(D67="IN",D67="ADJUST+"),E67,-E67))</f>
      </c>
      <c r="J67" s="65"/>
      <c r="K67" t="str">
        <f>IF(COUNTA(A67:G67,J67)=0,"",IF(J67="",C67,IFERROR(INDEX('PurchaseOrders'!$C$7:$C$16,SUMPRODUCT(--('PurchaseOrders'!$A$7:$A$16=J67),ROW('PurchaseOrders'!$A$7:$A$16))-6),"")))</f>
      </c>
      <c r="L67" t="n">
        <f>L66+IF(AND(K67=SKUHistory!$C$4,H67="Ready",SKUHistory!$C$4&lt;&gt;"",ISNUMBER(SKUHistory!$F$4),ISNUMBER(SKUHistory!$I$4),B67&gt;=SKUHistory!$F$4,B67&lt;=SKUHistory!$I$4),1,0)</f>
        <v>2</v>
      </c>
      <c r="M67" t="str">
        <f>IF(AND(K67=SKUHistory!$C$4,H67="Ready",SKUHistory!$C$4&lt;&gt;"",ISNUMBER(SKUHistory!$F$4),ISNUMBER(SKUHistory!$I$4),B67&gt;=SKUHistory!$F$4,B67&lt;=SKUHistory!$I$4),L67,"")</f>
      </c>
    </row>
    <row r="68" ht="23" customHeight="1">
      <c r="A68" s="65"/>
      <c r="B68" s="63"/>
      <c r="C68" s="65"/>
      <c r="D68" s="65"/>
      <c r="E68" s="66"/>
      <c r="F68" s="65"/>
      <c r="G68" s="65"/>
      <c r="H68" s="6" t="str">
        <f>IF(COUNTA(A68:G68,J68)=0,"",IF(OR(A68="",B68="",K68="",D68="",COUNT(E68)&lt;&gt;1),"Missing inputs",IF(SUMPRODUCT(--('Transactions'!$A$7:$A$106=A68))&lt;&gt;1,"Duplicate ID",IF(SUMPRODUCT(--('Products'!$A$7:$A$16=K68),--('Products'!$P$7:$P$16="Ready"))&lt;&gt;1,"Check SKU",IF(OR(NOT(ISNUMBER(B68)),B68&lt;1,B68&gt;73415,MOD(B68,1)&lt;&gt;0),"Check date",IF(OR(E68&lt;=0,E68&gt;1000000000,MOD(E68,1)&lt;&gt;0),"Check quantity",IF(AND(D68&lt;&gt;"IN",D68&lt;&gt;"OUT",D68&lt;&gt;"ADJUST+",D68&lt;&gt;"ADJUST-"),"Check movement",IF(J68="","Ready",IF(D68&lt;&gt;"IN","PO link needs IN",IF(AND(C68&lt;&gt;"",C68&lt;&gt;K68),"PO / SKU mismatch",IF(SUMPRODUCT(--('PurchaseOrders'!$A$7:$A$16=J68),--('PurchaseOrders'!$N$7:$N$16="Ready"))&lt;&gt;1,"Check PO link","Ready")))))))))))</f>
      </c>
      <c r="I68" s="17" t="str">
        <f>IF(H68&lt;&gt;"Ready","",IF(OR(D68="IN",D68="ADJUST+"),E68,-E68))</f>
      </c>
      <c r="J68" s="65"/>
      <c r="K68" t="str">
        <f>IF(COUNTA(A68:G68,J68)=0,"",IF(J68="",C68,IFERROR(INDEX('PurchaseOrders'!$C$7:$C$16,SUMPRODUCT(--('PurchaseOrders'!$A$7:$A$16=J68),ROW('PurchaseOrders'!$A$7:$A$16))-6),"")))</f>
      </c>
      <c r="L68" t="n">
        <f>L67+IF(AND(K68=SKUHistory!$C$4,H68="Ready",SKUHistory!$C$4&lt;&gt;"",ISNUMBER(SKUHistory!$F$4),ISNUMBER(SKUHistory!$I$4),B68&gt;=SKUHistory!$F$4,B68&lt;=SKUHistory!$I$4),1,0)</f>
        <v>2</v>
      </c>
      <c r="M68" t="str">
        <f>IF(AND(K68=SKUHistory!$C$4,H68="Ready",SKUHistory!$C$4&lt;&gt;"",ISNUMBER(SKUHistory!$F$4),ISNUMBER(SKUHistory!$I$4),B68&gt;=SKUHistory!$F$4,B68&lt;=SKUHistory!$I$4),L68,"")</f>
      </c>
    </row>
    <row r="69" ht="23" customHeight="1">
      <c r="A69" s="65"/>
      <c r="B69" s="63"/>
      <c r="C69" s="65"/>
      <c r="D69" s="65"/>
      <c r="E69" s="66"/>
      <c r="F69" s="65"/>
      <c r="G69" s="65"/>
      <c r="H69" s="6" t="str">
        <f>IF(COUNTA(A69:G69,J69)=0,"",IF(OR(A69="",B69="",K69="",D69="",COUNT(E69)&lt;&gt;1),"Missing inputs",IF(SUMPRODUCT(--('Transactions'!$A$7:$A$106=A69))&lt;&gt;1,"Duplicate ID",IF(SUMPRODUCT(--('Products'!$A$7:$A$16=K69),--('Products'!$P$7:$P$16="Ready"))&lt;&gt;1,"Check SKU",IF(OR(NOT(ISNUMBER(B69)),B69&lt;1,B69&gt;73415,MOD(B69,1)&lt;&gt;0),"Check date",IF(OR(E69&lt;=0,E69&gt;1000000000,MOD(E69,1)&lt;&gt;0),"Check quantity",IF(AND(D69&lt;&gt;"IN",D69&lt;&gt;"OUT",D69&lt;&gt;"ADJUST+",D69&lt;&gt;"ADJUST-"),"Check movement",IF(J69="","Ready",IF(D69&lt;&gt;"IN","PO link needs IN",IF(AND(C69&lt;&gt;"",C69&lt;&gt;K69),"PO / SKU mismatch",IF(SUMPRODUCT(--('PurchaseOrders'!$A$7:$A$16=J69),--('PurchaseOrders'!$N$7:$N$16="Ready"))&lt;&gt;1,"Check PO link","Ready")))))))))))</f>
      </c>
      <c r="I69" s="17" t="str">
        <f>IF(H69&lt;&gt;"Ready","",IF(OR(D69="IN",D69="ADJUST+"),E69,-E69))</f>
      </c>
      <c r="J69" s="65"/>
      <c r="K69" t="str">
        <f>IF(COUNTA(A69:G69,J69)=0,"",IF(J69="",C69,IFERROR(INDEX('PurchaseOrders'!$C$7:$C$16,SUMPRODUCT(--('PurchaseOrders'!$A$7:$A$16=J69),ROW('PurchaseOrders'!$A$7:$A$16))-6),"")))</f>
      </c>
      <c r="L69" t="n">
        <f>L68+IF(AND(K69=SKUHistory!$C$4,H69="Ready",SKUHistory!$C$4&lt;&gt;"",ISNUMBER(SKUHistory!$F$4),ISNUMBER(SKUHistory!$I$4),B69&gt;=SKUHistory!$F$4,B69&lt;=SKUHistory!$I$4),1,0)</f>
        <v>2</v>
      </c>
      <c r="M69" t="str">
        <f>IF(AND(K69=SKUHistory!$C$4,H69="Ready",SKUHistory!$C$4&lt;&gt;"",ISNUMBER(SKUHistory!$F$4),ISNUMBER(SKUHistory!$I$4),B69&gt;=SKUHistory!$F$4,B69&lt;=SKUHistory!$I$4),L69,"")</f>
      </c>
    </row>
    <row r="70" ht="23" customHeight="1">
      <c r="A70" s="65"/>
      <c r="B70" s="63"/>
      <c r="C70" s="65"/>
      <c r="D70" s="65"/>
      <c r="E70" s="66"/>
      <c r="F70" s="65"/>
      <c r="G70" s="65"/>
      <c r="H70" s="6" t="str">
        <f>IF(COUNTA(A70:G70,J70)=0,"",IF(OR(A70="",B70="",K70="",D70="",COUNT(E70)&lt;&gt;1),"Missing inputs",IF(SUMPRODUCT(--('Transactions'!$A$7:$A$106=A70))&lt;&gt;1,"Duplicate ID",IF(SUMPRODUCT(--('Products'!$A$7:$A$16=K70),--('Products'!$P$7:$P$16="Ready"))&lt;&gt;1,"Check SKU",IF(OR(NOT(ISNUMBER(B70)),B70&lt;1,B70&gt;73415,MOD(B70,1)&lt;&gt;0),"Check date",IF(OR(E70&lt;=0,E70&gt;1000000000,MOD(E70,1)&lt;&gt;0),"Check quantity",IF(AND(D70&lt;&gt;"IN",D70&lt;&gt;"OUT",D70&lt;&gt;"ADJUST+",D70&lt;&gt;"ADJUST-"),"Check movement",IF(J70="","Ready",IF(D70&lt;&gt;"IN","PO link needs IN",IF(AND(C70&lt;&gt;"",C70&lt;&gt;K70),"PO / SKU mismatch",IF(SUMPRODUCT(--('PurchaseOrders'!$A$7:$A$16=J70),--('PurchaseOrders'!$N$7:$N$16="Ready"))&lt;&gt;1,"Check PO link","Ready")))))))))))</f>
      </c>
      <c r="I70" s="17" t="str">
        <f>IF(H70&lt;&gt;"Ready","",IF(OR(D70="IN",D70="ADJUST+"),E70,-E70))</f>
      </c>
      <c r="J70" s="65"/>
      <c r="K70" t="str">
        <f>IF(COUNTA(A70:G70,J70)=0,"",IF(J70="",C70,IFERROR(INDEX('PurchaseOrders'!$C$7:$C$16,SUMPRODUCT(--('PurchaseOrders'!$A$7:$A$16=J70),ROW('PurchaseOrders'!$A$7:$A$16))-6),"")))</f>
      </c>
      <c r="L70" t="n">
        <f>L69+IF(AND(K70=SKUHistory!$C$4,H70="Ready",SKUHistory!$C$4&lt;&gt;"",ISNUMBER(SKUHistory!$F$4),ISNUMBER(SKUHistory!$I$4),B70&gt;=SKUHistory!$F$4,B70&lt;=SKUHistory!$I$4),1,0)</f>
        <v>2</v>
      </c>
      <c r="M70" t="str">
        <f>IF(AND(K70=SKUHistory!$C$4,H70="Ready",SKUHistory!$C$4&lt;&gt;"",ISNUMBER(SKUHistory!$F$4),ISNUMBER(SKUHistory!$I$4),B70&gt;=SKUHistory!$F$4,B70&lt;=SKUHistory!$I$4),L70,"")</f>
      </c>
    </row>
    <row r="71" ht="23" customHeight="1">
      <c r="A71" s="65"/>
      <c r="B71" s="63"/>
      <c r="C71" s="65"/>
      <c r="D71" s="65"/>
      <c r="E71" s="66"/>
      <c r="F71" s="65"/>
      <c r="G71" s="65"/>
      <c r="H71" s="6" t="str">
        <f>IF(COUNTA(A71:G71,J71)=0,"",IF(OR(A71="",B71="",K71="",D71="",COUNT(E71)&lt;&gt;1),"Missing inputs",IF(SUMPRODUCT(--('Transactions'!$A$7:$A$106=A71))&lt;&gt;1,"Duplicate ID",IF(SUMPRODUCT(--('Products'!$A$7:$A$16=K71),--('Products'!$P$7:$P$16="Ready"))&lt;&gt;1,"Check SKU",IF(OR(NOT(ISNUMBER(B71)),B71&lt;1,B71&gt;73415,MOD(B71,1)&lt;&gt;0),"Check date",IF(OR(E71&lt;=0,E71&gt;1000000000,MOD(E71,1)&lt;&gt;0),"Check quantity",IF(AND(D71&lt;&gt;"IN",D71&lt;&gt;"OUT",D71&lt;&gt;"ADJUST+",D71&lt;&gt;"ADJUST-"),"Check movement",IF(J71="","Ready",IF(D71&lt;&gt;"IN","PO link needs IN",IF(AND(C71&lt;&gt;"",C71&lt;&gt;K71),"PO / SKU mismatch",IF(SUMPRODUCT(--('PurchaseOrders'!$A$7:$A$16=J71),--('PurchaseOrders'!$N$7:$N$16="Ready"))&lt;&gt;1,"Check PO link","Ready")))))))))))</f>
      </c>
      <c r="I71" s="17" t="str">
        <f>IF(H71&lt;&gt;"Ready","",IF(OR(D71="IN",D71="ADJUST+"),E71,-E71))</f>
      </c>
      <c r="J71" s="65"/>
      <c r="K71" t="str">
        <f>IF(COUNTA(A71:G71,J71)=0,"",IF(J71="",C71,IFERROR(INDEX('PurchaseOrders'!$C$7:$C$16,SUMPRODUCT(--('PurchaseOrders'!$A$7:$A$16=J71),ROW('PurchaseOrders'!$A$7:$A$16))-6),"")))</f>
      </c>
      <c r="L71" t="n">
        <f>L70+IF(AND(K71=SKUHistory!$C$4,H71="Ready",SKUHistory!$C$4&lt;&gt;"",ISNUMBER(SKUHistory!$F$4),ISNUMBER(SKUHistory!$I$4),B71&gt;=SKUHistory!$F$4,B71&lt;=SKUHistory!$I$4),1,0)</f>
        <v>2</v>
      </c>
      <c r="M71" t="str">
        <f>IF(AND(K71=SKUHistory!$C$4,H71="Ready",SKUHistory!$C$4&lt;&gt;"",ISNUMBER(SKUHistory!$F$4),ISNUMBER(SKUHistory!$I$4),B71&gt;=SKUHistory!$F$4,B71&lt;=SKUHistory!$I$4),L71,"")</f>
      </c>
    </row>
    <row r="72" ht="23" customHeight="1">
      <c r="A72" s="65"/>
      <c r="B72" s="63"/>
      <c r="C72" s="65"/>
      <c r="D72" s="65"/>
      <c r="E72" s="66"/>
      <c r="F72" s="65"/>
      <c r="G72" s="65"/>
      <c r="H72" s="6" t="str">
        <f>IF(COUNTA(A72:G72,J72)=0,"",IF(OR(A72="",B72="",K72="",D72="",COUNT(E72)&lt;&gt;1),"Missing inputs",IF(SUMPRODUCT(--('Transactions'!$A$7:$A$106=A72))&lt;&gt;1,"Duplicate ID",IF(SUMPRODUCT(--('Products'!$A$7:$A$16=K72),--('Products'!$P$7:$P$16="Ready"))&lt;&gt;1,"Check SKU",IF(OR(NOT(ISNUMBER(B72)),B72&lt;1,B72&gt;73415,MOD(B72,1)&lt;&gt;0),"Check date",IF(OR(E72&lt;=0,E72&gt;1000000000,MOD(E72,1)&lt;&gt;0),"Check quantity",IF(AND(D72&lt;&gt;"IN",D72&lt;&gt;"OUT",D72&lt;&gt;"ADJUST+",D72&lt;&gt;"ADJUST-"),"Check movement",IF(J72="","Ready",IF(D72&lt;&gt;"IN","PO link needs IN",IF(AND(C72&lt;&gt;"",C72&lt;&gt;K72),"PO / SKU mismatch",IF(SUMPRODUCT(--('PurchaseOrders'!$A$7:$A$16=J72),--('PurchaseOrders'!$N$7:$N$16="Ready"))&lt;&gt;1,"Check PO link","Ready")))))))))))</f>
      </c>
      <c r="I72" s="17" t="str">
        <f>IF(H72&lt;&gt;"Ready","",IF(OR(D72="IN",D72="ADJUST+"),E72,-E72))</f>
      </c>
      <c r="J72" s="65"/>
      <c r="K72" t="str">
        <f>IF(COUNTA(A72:G72,J72)=0,"",IF(J72="",C72,IFERROR(INDEX('PurchaseOrders'!$C$7:$C$16,SUMPRODUCT(--('PurchaseOrders'!$A$7:$A$16=J72),ROW('PurchaseOrders'!$A$7:$A$16))-6),"")))</f>
      </c>
      <c r="L72" t="n">
        <f>L71+IF(AND(K72=SKUHistory!$C$4,H72="Ready",SKUHistory!$C$4&lt;&gt;"",ISNUMBER(SKUHistory!$F$4),ISNUMBER(SKUHistory!$I$4),B72&gt;=SKUHistory!$F$4,B72&lt;=SKUHistory!$I$4),1,0)</f>
        <v>2</v>
      </c>
      <c r="M72" t="str">
        <f>IF(AND(K72=SKUHistory!$C$4,H72="Ready",SKUHistory!$C$4&lt;&gt;"",ISNUMBER(SKUHistory!$F$4),ISNUMBER(SKUHistory!$I$4),B72&gt;=SKUHistory!$F$4,B72&lt;=SKUHistory!$I$4),L72,"")</f>
      </c>
    </row>
    <row r="73" ht="23" customHeight="1">
      <c r="A73" s="65"/>
      <c r="B73" s="63"/>
      <c r="C73" s="65"/>
      <c r="D73" s="65"/>
      <c r="E73" s="66"/>
      <c r="F73" s="65"/>
      <c r="G73" s="65"/>
      <c r="H73" s="6" t="str">
        <f>IF(COUNTA(A73:G73,J73)=0,"",IF(OR(A73="",B73="",K73="",D73="",COUNT(E73)&lt;&gt;1),"Missing inputs",IF(SUMPRODUCT(--('Transactions'!$A$7:$A$106=A73))&lt;&gt;1,"Duplicate ID",IF(SUMPRODUCT(--('Products'!$A$7:$A$16=K73),--('Products'!$P$7:$P$16="Ready"))&lt;&gt;1,"Check SKU",IF(OR(NOT(ISNUMBER(B73)),B73&lt;1,B73&gt;73415,MOD(B73,1)&lt;&gt;0),"Check date",IF(OR(E73&lt;=0,E73&gt;1000000000,MOD(E73,1)&lt;&gt;0),"Check quantity",IF(AND(D73&lt;&gt;"IN",D73&lt;&gt;"OUT",D73&lt;&gt;"ADJUST+",D73&lt;&gt;"ADJUST-"),"Check movement",IF(J73="","Ready",IF(D73&lt;&gt;"IN","PO link needs IN",IF(AND(C73&lt;&gt;"",C73&lt;&gt;K73),"PO / SKU mismatch",IF(SUMPRODUCT(--('PurchaseOrders'!$A$7:$A$16=J73),--('PurchaseOrders'!$N$7:$N$16="Ready"))&lt;&gt;1,"Check PO link","Ready")))))))))))</f>
      </c>
      <c r="I73" s="17" t="str">
        <f>IF(H73&lt;&gt;"Ready","",IF(OR(D73="IN",D73="ADJUST+"),E73,-E73))</f>
      </c>
      <c r="J73" s="65"/>
      <c r="K73" t="str">
        <f>IF(COUNTA(A73:G73,J73)=0,"",IF(J73="",C73,IFERROR(INDEX('PurchaseOrders'!$C$7:$C$16,SUMPRODUCT(--('PurchaseOrders'!$A$7:$A$16=J73),ROW('PurchaseOrders'!$A$7:$A$16))-6),"")))</f>
      </c>
      <c r="L73" t="n">
        <f>L72+IF(AND(K73=SKUHistory!$C$4,H73="Ready",SKUHistory!$C$4&lt;&gt;"",ISNUMBER(SKUHistory!$F$4),ISNUMBER(SKUHistory!$I$4),B73&gt;=SKUHistory!$F$4,B73&lt;=SKUHistory!$I$4),1,0)</f>
        <v>2</v>
      </c>
      <c r="M73" t="str">
        <f>IF(AND(K73=SKUHistory!$C$4,H73="Ready",SKUHistory!$C$4&lt;&gt;"",ISNUMBER(SKUHistory!$F$4),ISNUMBER(SKUHistory!$I$4),B73&gt;=SKUHistory!$F$4,B73&lt;=SKUHistory!$I$4),L73,"")</f>
      </c>
    </row>
    <row r="74" ht="23" customHeight="1">
      <c r="A74" s="65"/>
      <c r="B74" s="63"/>
      <c r="C74" s="65"/>
      <c r="D74" s="65"/>
      <c r="E74" s="66"/>
      <c r="F74" s="65"/>
      <c r="G74" s="65"/>
      <c r="H74" s="6" t="str">
        <f>IF(COUNTA(A74:G74,J74)=0,"",IF(OR(A74="",B74="",K74="",D74="",COUNT(E74)&lt;&gt;1),"Missing inputs",IF(SUMPRODUCT(--('Transactions'!$A$7:$A$106=A74))&lt;&gt;1,"Duplicate ID",IF(SUMPRODUCT(--('Products'!$A$7:$A$16=K74),--('Products'!$P$7:$P$16="Ready"))&lt;&gt;1,"Check SKU",IF(OR(NOT(ISNUMBER(B74)),B74&lt;1,B74&gt;73415,MOD(B74,1)&lt;&gt;0),"Check date",IF(OR(E74&lt;=0,E74&gt;1000000000,MOD(E74,1)&lt;&gt;0),"Check quantity",IF(AND(D74&lt;&gt;"IN",D74&lt;&gt;"OUT",D74&lt;&gt;"ADJUST+",D74&lt;&gt;"ADJUST-"),"Check movement",IF(J74="","Ready",IF(D74&lt;&gt;"IN","PO link needs IN",IF(AND(C74&lt;&gt;"",C74&lt;&gt;K74),"PO / SKU mismatch",IF(SUMPRODUCT(--('PurchaseOrders'!$A$7:$A$16=J74),--('PurchaseOrders'!$N$7:$N$16="Ready"))&lt;&gt;1,"Check PO link","Ready")))))))))))</f>
      </c>
      <c r="I74" s="17" t="str">
        <f>IF(H74&lt;&gt;"Ready","",IF(OR(D74="IN",D74="ADJUST+"),E74,-E74))</f>
      </c>
      <c r="J74" s="65"/>
      <c r="K74" t="str">
        <f>IF(COUNTA(A74:G74,J74)=0,"",IF(J74="",C74,IFERROR(INDEX('PurchaseOrders'!$C$7:$C$16,SUMPRODUCT(--('PurchaseOrders'!$A$7:$A$16=J74),ROW('PurchaseOrders'!$A$7:$A$16))-6),"")))</f>
      </c>
      <c r="L74" t="n">
        <f>L73+IF(AND(K74=SKUHistory!$C$4,H74="Ready",SKUHistory!$C$4&lt;&gt;"",ISNUMBER(SKUHistory!$F$4),ISNUMBER(SKUHistory!$I$4),B74&gt;=SKUHistory!$F$4,B74&lt;=SKUHistory!$I$4),1,0)</f>
        <v>2</v>
      </c>
      <c r="M74" t="str">
        <f>IF(AND(K74=SKUHistory!$C$4,H74="Ready",SKUHistory!$C$4&lt;&gt;"",ISNUMBER(SKUHistory!$F$4),ISNUMBER(SKUHistory!$I$4),B74&gt;=SKUHistory!$F$4,B74&lt;=SKUHistory!$I$4),L74,"")</f>
      </c>
    </row>
    <row r="75" ht="23" customHeight="1">
      <c r="A75" s="65"/>
      <c r="B75" s="63"/>
      <c r="C75" s="65"/>
      <c r="D75" s="65"/>
      <c r="E75" s="66"/>
      <c r="F75" s="65"/>
      <c r="G75" s="65"/>
      <c r="H75" s="6" t="str">
        <f>IF(COUNTA(A75:G75,J75)=0,"",IF(OR(A75="",B75="",K75="",D75="",COUNT(E75)&lt;&gt;1),"Missing inputs",IF(SUMPRODUCT(--('Transactions'!$A$7:$A$106=A75))&lt;&gt;1,"Duplicate ID",IF(SUMPRODUCT(--('Products'!$A$7:$A$16=K75),--('Products'!$P$7:$P$16="Ready"))&lt;&gt;1,"Check SKU",IF(OR(NOT(ISNUMBER(B75)),B75&lt;1,B75&gt;73415,MOD(B75,1)&lt;&gt;0),"Check date",IF(OR(E75&lt;=0,E75&gt;1000000000,MOD(E75,1)&lt;&gt;0),"Check quantity",IF(AND(D75&lt;&gt;"IN",D75&lt;&gt;"OUT",D75&lt;&gt;"ADJUST+",D75&lt;&gt;"ADJUST-"),"Check movement",IF(J75="","Ready",IF(D75&lt;&gt;"IN","PO link needs IN",IF(AND(C75&lt;&gt;"",C75&lt;&gt;K75),"PO / SKU mismatch",IF(SUMPRODUCT(--('PurchaseOrders'!$A$7:$A$16=J75),--('PurchaseOrders'!$N$7:$N$16="Ready"))&lt;&gt;1,"Check PO link","Ready")))))))))))</f>
      </c>
      <c r="I75" s="17" t="str">
        <f>IF(H75&lt;&gt;"Ready","",IF(OR(D75="IN",D75="ADJUST+"),E75,-E75))</f>
      </c>
      <c r="J75" s="65"/>
      <c r="K75" t="str">
        <f>IF(COUNTA(A75:G75,J75)=0,"",IF(J75="",C75,IFERROR(INDEX('PurchaseOrders'!$C$7:$C$16,SUMPRODUCT(--('PurchaseOrders'!$A$7:$A$16=J75),ROW('PurchaseOrders'!$A$7:$A$16))-6),"")))</f>
      </c>
      <c r="L75" t="n">
        <f>L74+IF(AND(K75=SKUHistory!$C$4,H75="Ready",SKUHistory!$C$4&lt;&gt;"",ISNUMBER(SKUHistory!$F$4),ISNUMBER(SKUHistory!$I$4),B75&gt;=SKUHistory!$F$4,B75&lt;=SKUHistory!$I$4),1,0)</f>
        <v>2</v>
      </c>
      <c r="M75" t="str">
        <f>IF(AND(K75=SKUHistory!$C$4,H75="Ready",SKUHistory!$C$4&lt;&gt;"",ISNUMBER(SKUHistory!$F$4),ISNUMBER(SKUHistory!$I$4),B75&gt;=SKUHistory!$F$4,B75&lt;=SKUHistory!$I$4),L75,"")</f>
      </c>
    </row>
    <row r="76" ht="23" customHeight="1">
      <c r="A76" s="65"/>
      <c r="B76" s="63"/>
      <c r="C76" s="65"/>
      <c r="D76" s="65"/>
      <c r="E76" s="66"/>
      <c r="F76" s="65"/>
      <c r="G76" s="65"/>
      <c r="H76" s="6" t="str">
        <f>IF(COUNTA(A76:G76,J76)=0,"",IF(OR(A76="",B76="",K76="",D76="",COUNT(E76)&lt;&gt;1),"Missing inputs",IF(SUMPRODUCT(--('Transactions'!$A$7:$A$106=A76))&lt;&gt;1,"Duplicate ID",IF(SUMPRODUCT(--('Products'!$A$7:$A$16=K76),--('Products'!$P$7:$P$16="Ready"))&lt;&gt;1,"Check SKU",IF(OR(NOT(ISNUMBER(B76)),B76&lt;1,B76&gt;73415,MOD(B76,1)&lt;&gt;0),"Check date",IF(OR(E76&lt;=0,E76&gt;1000000000,MOD(E76,1)&lt;&gt;0),"Check quantity",IF(AND(D76&lt;&gt;"IN",D76&lt;&gt;"OUT",D76&lt;&gt;"ADJUST+",D76&lt;&gt;"ADJUST-"),"Check movement",IF(J76="","Ready",IF(D76&lt;&gt;"IN","PO link needs IN",IF(AND(C76&lt;&gt;"",C76&lt;&gt;K76),"PO / SKU mismatch",IF(SUMPRODUCT(--('PurchaseOrders'!$A$7:$A$16=J76),--('PurchaseOrders'!$N$7:$N$16="Ready"))&lt;&gt;1,"Check PO link","Ready")))))))))))</f>
      </c>
      <c r="I76" s="17" t="str">
        <f>IF(H76&lt;&gt;"Ready","",IF(OR(D76="IN",D76="ADJUST+"),E76,-E76))</f>
      </c>
      <c r="J76" s="65"/>
      <c r="K76" t="str">
        <f>IF(COUNTA(A76:G76,J76)=0,"",IF(J76="",C76,IFERROR(INDEX('PurchaseOrders'!$C$7:$C$16,SUMPRODUCT(--('PurchaseOrders'!$A$7:$A$16=J76),ROW('PurchaseOrders'!$A$7:$A$16))-6),"")))</f>
      </c>
      <c r="L76" t="n">
        <f>L75+IF(AND(K76=SKUHistory!$C$4,H76="Ready",SKUHistory!$C$4&lt;&gt;"",ISNUMBER(SKUHistory!$F$4),ISNUMBER(SKUHistory!$I$4),B76&gt;=SKUHistory!$F$4,B76&lt;=SKUHistory!$I$4),1,0)</f>
        <v>2</v>
      </c>
      <c r="M76" t="str">
        <f>IF(AND(K76=SKUHistory!$C$4,H76="Ready",SKUHistory!$C$4&lt;&gt;"",ISNUMBER(SKUHistory!$F$4),ISNUMBER(SKUHistory!$I$4),B76&gt;=SKUHistory!$F$4,B76&lt;=SKUHistory!$I$4),L76,"")</f>
      </c>
    </row>
    <row r="77" ht="23" customHeight="1">
      <c r="A77" s="65"/>
      <c r="B77" s="63"/>
      <c r="C77" s="65"/>
      <c r="D77" s="65"/>
      <c r="E77" s="66"/>
      <c r="F77" s="65"/>
      <c r="G77" s="65"/>
      <c r="H77" s="6" t="str">
        <f>IF(COUNTA(A77:G77,J77)=0,"",IF(OR(A77="",B77="",K77="",D77="",COUNT(E77)&lt;&gt;1),"Missing inputs",IF(SUMPRODUCT(--('Transactions'!$A$7:$A$106=A77))&lt;&gt;1,"Duplicate ID",IF(SUMPRODUCT(--('Products'!$A$7:$A$16=K77),--('Products'!$P$7:$P$16="Ready"))&lt;&gt;1,"Check SKU",IF(OR(NOT(ISNUMBER(B77)),B77&lt;1,B77&gt;73415,MOD(B77,1)&lt;&gt;0),"Check date",IF(OR(E77&lt;=0,E77&gt;1000000000,MOD(E77,1)&lt;&gt;0),"Check quantity",IF(AND(D77&lt;&gt;"IN",D77&lt;&gt;"OUT",D77&lt;&gt;"ADJUST+",D77&lt;&gt;"ADJUST-"),"Check movement",IF(J77="","Ready",IF(D77&lt;&gt;"IN","PO link needs IN",IF(AND(C77&lt;&gt;"",C77&lt;&gt;K77),"PO / SKU mismatch",IF(SUMPRODUCT(--('PurchaseOrders'!$A$7:$A$16=J77),--('PurchaseOrders'!$N$7:$N$16="Ready"))&lt;&gt;1,"Check PO link","Ready")))))))))))</f>
      </c>
      <c r="I77" s="17" t="str">
        <f>IF(H77&lt;&gt;"Ready","",IF(OR(D77="IN",D77="ADJUST+"),E77,-E77))</f>
      </c>
      <c r="J77" s="65"/>
      <c r="K77" t="str">
        <f>IF(COUNTA(A77:G77,J77)=0,"",IF(J77="",C77,IFERROR(INDEX('PurchaseOrders'!$C$7:$C$16,SUMPRODUCT(--('PurchaseOrders'!$A$7:$A$16=J77),ROW('PurchaseOrders'!$A$7:$A$16))-6),"")))</f>
      </c>
      <c r="L77" t="n">
        <f>L76+IF(AND(K77=SKUHistory!$C$4,H77="Ready",SKUHistory!$C$4&lt;&gt;"",ISNUMBER(SKUHistory!$F$4),ISNUMBER(SKUHistory!$I$4),B77&gt;=SKUHistory!$F$4,B77&lt;=SKUHistory!$I$4),1,0)</f>
        <v>2</v>
      </c>
      <c r="M77" t="str">
        <f>IF(AND(K77=SKUHistory!$C$4,H77="Ready",SKUHistory!$C$4&lt;&gt;"",ISNUMBER(SKUHistory!$F$4),ISNUMBER(SKUHistory!$I$4),B77&gt;=SKUHistory!$F$4,B77&lt;=SKUHistory!$I$4),L77,"")</f>
      </c>
    </row>
    <row r="78" ht="23" customHeight="1">
      <c r="A78" s="65"/>
      <c r="B78" s="63"/>
      <c r="C78" s="65"/>
      <c r="D78" s="65"/>
      <c r="E78" s="66"/>
      <c r="F78" s="65"/>
      <c r="G78" s="65"/>
      <c r="H78" s="6" t="str">
        <f>IF(COUNTA(A78:G78,J78)=0,"",IF(OR(A78="",B78="",K78="",D78="",COUNT(E78)&lt;&gt;1),"Missing inputs",IF(SUMPRODUCT(--('Transactions'!$A$7:$A$106=A78))&lt;&gt;1,"Duplicate ID",IF(SUMPRODUCT(--('Products'!$A$7:$A$16=K78),--('Products'!$P$7:$P$16="Ready"))&lt;&gt;1,"Check SKU",IF(OR(NOT(ISNUMBER(B78)),B78&lt;1,B78&gt;73415,MOD(B78,1)&lt;&gt;0),"Check date",IF(OR(E78&lt;=0,E78&gt;1000000000,MOD(E78,1)&lt;&gt;0),"Check quantity",IF(AND(D78&lt;&gt;"IN",D78&lt;&gt;"OUT",D78&lt;&gt;"ADJUST+",D78&lt;&gt;"ADJUST-"),"Check movement",IF(J78="","Ready",IF(D78&lt;&gt;"IN","PO link needs IN",IF(AND(C78&lt;&gt;"",C78&lt;&gt;K78),"PO / SKU mismatch",IF(SUMPRODUCT(--('PurchaseOrders'!$A$7:$A$16=J78),--('PurchaseOrders'!$N$7:$N$16="Ready"))&lt;&gt;1,"Check PO link","Ready")))))))))))</f>
      </c>
      <c r="I78" s="17" t="str">
        <f>IF(H78&lt;&gt;"Ready","",IF(OR(D78="IN",D78="ADJUST+"),E78,-E78))</f>
      </c>
      <c r="J78" s="65"/>
      <c r="K78" t="str">
        <f>IF(COUNTA(A78:G78,J78)=0,"",IF(J78="",C78,IFERROR(INDEX('PurchaseOrders'!$C$7:$C$16,SUMPRODUCT(--('PurchaseOrders'!$A$7:$A$16=J78),ROW('PurchaseOrders'!$A$7:$A$16))-6),"")))</f>
      </c>
      <c r="L78" t="n">
        <f>L77+IF(AND(K78=SKUHistory!$C$4,H78="Ready",SKUHistory!$C$4&lt;&gt;"",ISNUMBER(SKUHistory!$F$4),ISNUMBER(SKUHistory!$I$4),B78&gt;=SKUHistory!$F$4,B78&lt;=SKUHistory!$I$4),1,0)</f>
        <v>2</v>
      </c>
      <c r="M78" t="str">
        <f>IF(AND(K78=SKUHistory!$C$4,H78="Ready",SKUHistory!$C$4&lt;&gt;"",ISNUMBER(SKUHistory!$F$4),ISNUMBER(SKUHistory!$I$4),B78&gt;=SKUHistory!$F$4,B78&lt;=SKUHistory!$I$4),L78,"")</f>
      </c>
    </row>
    <row r="79" ht="23" customHeight="1">
      <c r="A79" s="65"/>
      <c r="B79" s="63"/>
      <c r="C79" s="65"/>
      <c r="D79" s="65"/>
      <c r="E79" s="66"/>
      <c r="F79" s="65"/>
      <c r="G79" s="65"/>
      <c r="H79" s="6" t="str">
        <f>IF(COUNTA(A79:G79,J79)=0,"",IF(OR(A79="",B79="",K79="",D79="",COUNT(E79)&lt;&gt;1),"Missing inputs",IF(SUMPRODUCT(--('Transactions'!$A$7:$A$106=A79))&lt;&gt;1,"Duplicate ID",IF(SUMPRODUCT(--('Products'!$A$7:$A$16=K79),--('Products'!$P$7:$P$16="Ready"))&lt;&gt;1,"Check SKU",IF(OR(NOT(ISNUMBER(B79)),B79&lt;1,B79&gt;73415,MOD(B79,1)&lt;&gt;0),"Check date",IF(OR(E79&lt;=0,E79&gt;1000000000,MOD(E79,1)&lt;&gt;0),"Check quantity",IF(AND(D79&lt;&gt;"IN",D79&lt;&gt;"OUT",D79&lt;&gt;"ADJUST+",D79&lt;&gt;"ADJUST-"),"Check movement",IF(J79="","Ready",IF(D79&lt;&gt;"IN","PO link needs IN",IF(AND(C79&lt;&gt;"",C79&lt;&gt;K79),"PO / SKU mismatch",IF(SUMPRODUCT(--('PurchaseOrders'!$A$7:$A$16=J79),--('PurchaseOrders'!$N$7:$N$16="Ready"))&lt;&gt;1,"Check PO link","Ready")))))))))))</f>
      </c>
      <c r="I79" s="17" t="str">
        <f>IF(H79&lt;&gt;"Ready","",IF(OR(D79="IN",D79="ADJUST+"),E79,-E79))</f>
      </c>
      <c r="J79" s="65"/>
      <c r="K79" t="str">
        <f>IF(COUNTA(A79:G79,J79)=0,"",IF(J79="",C79,IFERROR(INDEX('PurchaseOrders'!$C$7:$C$16,SUMPRODUCT(--('PurchaseOrders'!$A$7:$A$16=J79),ROW('PurchaseOrders'!$A$7:$A$16))-6),"")))</f>
      </c>
      <c r="L79" t="n">
        <f>L78+IF(AND(K79=SKUHistory!$C$4,H79="Ready",SKUHistory!$C$4&lt;&gt;"",ISNUMBER(SKUHistory!$F$4),ISNUMBER(SKUHistory!$I$4),B79&gt;=SKUHistory!$F$4,B79&lt;=SKUHistory!$I$4),1,0)</f>
        <v>2</v>
      </c>
      <c r="M79" t="str">
        <f>IF(AND(K79=SKUHistory!$C$4,H79="Ready",SKUHistory!$C$4&lt;&gt;"",ISNUMBER(SKUHistory!$F$4),ISNUMBER(SKUHistory!$I$4),B79&gt;=SKUHistory!$F$4,B79&lt;=SKUHistory!$I$4),L79,"")</f>
      </c>
    </row>
    <row r="80" ht="23" customHeight="1">
      <c r="A80" s="65"/>
      <c r="B80" s="63"/>
      <c r="C80" s="65"/>
      <c r="D80" s="65"/>
      <c r="E80" s="66"/>
      <c r="F80" s="65"/>
      <c r="G80" s="65"/>
      <c r="H80" s="6" t="str">
        <f>IF(COUNTA(A80:G80,J80)=0,"",IF(OR(A80="",B80="",K80="",D80="",COUNT(E80)&lt;&gt;1),"Missing inputs",IF(SUMPRODUCT(--('Transactions'!$A$7:$A$106=A80))&lt;&gt;1,"Duplicate ID",IF(SUMPRODUCT(--('Products'!$A$7:$A$16=K80),--('Products'!$P$7:$P$16="Ready"))&lt;&gt;1,"Check SKU",IF(OR(NOT(ISNUMBER(B80)),B80&lt;1,B80&gt;73415,MOD(B80,1)&lt;&gt;0),"Check date",IF(OR(E80&lt;=0,E80&gt;1000000000,MOD(E80,1)&lt;&gt;0),"Check quantity",IF(AND(D80&lt;&gt;"IN",D80&lt;&gt;"OUT",D80&lt;&gt;"ADJUST+",D80&lt;&gt;"ADJUST-"),"Check movement",IF(J80="","Ready",IF(D80&lt;&gt;"IN","PO link needs IN",IF(AND(C80&lt;&gt;"",C80&lt;&gt;K80),"PO / SKU mismatch",IF(SUMPRODUCT(--('PurchaseOrders'!$A$7:$A$16=J80),--('PurchaseOrders'!$N$7:$N$16="Ready"))&lt;&gt;1,"Check PO link","Ready")))))))))))</f>
      </c>
      <c r="I80" s="17" t="str">
        <f>IF(H80&lt;&gt;"Ready","",IF(OR(D80="IN",D80="ADJUST+"),E80,-E80))</f>
      </c>
      <c r="J80" s="65"/>
      <c r="K80" t="str">
        <f>IF(COUNTA(A80:G80,J80)=0,"",IF(J80="",C80,IFERROR(INDEX('PurchaseOrders'!$C$7:$C$16,SUMPRODUCT(--('PurchaseOrders'!$A$7:$A$16=J80),ROW('PurchaseOrders'!$A$7:$A$16))-6),"")))</f>
      </c>
      <c r="L80" t="n">
        <f>L79+IF(AND(K80=SKUHistory!$C$4,H80="Ready",SKUHistory!$C$4&lt;&gt;"",ISNUMBER(SKUHistory!$F$4),ISNUMBER(SKUHistory!$I$4),B80&gt;=SKUHistory!$F$4,B80&lt;=SKUHistory!$I$4),1,0)</f>
        <v>2</v>
      </c>
      <c r="M80" t="str">
        <f>IF(AND(K80=SKUHistory!$C$4,H80="Ready",SKUHistory!$C$4&lt;&gt;"",ISNUMBER(SKUHistory!$F$4),ISNUMBER(SKUHistory!$I$4),B80&gt;=SKUHistory!$F$4,B80&lt;=SKUHistory!$I$4),L80,"")</f>
      </c>
    </row>
    <row r="81" ht="23" customHeight="1">
      <c r="A81" s="65"/>
      <c r="B81" s="63"/>
      <c r="C81" s="65"/>
      <c r="D81" s="65"/>
      <c r="E81" s="66"/>
      <c r="F81" s="65"/>
      <c r="G81" s="65"/>
      <c r="H81" s="6" t="str">
        <f>IF(COUNTA(A81:G81,J81)=0,"",IF(OR(A81="",B81="",K81="",D81="",COUNT(E81)&lt;&gt;1),"Missing inputs",IF(SUMPRODUCT(--('Transactions'!$A$7:$A$106=A81))&lt;&gt;1,"Duplicate ID",IF(SUMPRODUCT(--('Products'!$A$7:$A$16=K81),--('Products'!$P$7:$P$16="Ready"))&lt;&gt;1,"Check SKU",IF(OR(NOT(ISNUMBER(B81)),B81&lt;1,B81&gt;73415,MOD(B81,1)&lt;&gt;0),"Check date",IF(OR(E81&lt;=0,E81&gt;1000000000,MOD(E81,1)&lt;&gt;0),"Check quantity",IF(AND(D81&lt;&gt;"IN",D81&lt;&gt;"OUT",D81&lt;&gt;"ADJUST+",D81&lt;&gt;"ADJUST-"),"Check movement",IF(J81="","Ready",IF(D81&lt;&gt;"IN","PO link needs IN",IF(AND(C81&lt;&gt;"",C81&lt;&gt;K81),"PO / SKU mismatch",IF(SUMPRODUCT(--('PurchaseOrders'!$A$7:$A$16=J81),--('PurchaseOrders'!$N$7:$N$16="Ready"))&lt;&gt;1,"Check PO link","Ready")))))))))))</f>
      </c>
      <c r="I81" s="17" t="str">
        <f>IF(H81&lt;&gt;"Ready","",IF(OR(D81="IN",D81="ADJUST+"),E81,-E81))</f>
      </c>
      <c r="J81" s="65"/>
      <c r="K81" t="str">
        <f>IF(COUNTA(A81:G81,J81)=0,"",IF(J81="",C81,IFERROR(INDEX('PurchaseOrders'!$C$7:$C$16,SUMPRODUCT(--('PurchaseOrders'!$A$7:$A$16=J81),ROW('PurchaseOrders'!$A$7:$A$16))-6),"")))</f>
      </c>
      <c r="L81" t="n">
        <f>L80+IF(AND(K81=SKUHistory!$C$4,H81="Ready",SKUHistory!$C$4&lt;&gt;"",ISNUMBER(SKUHistory!$F$4),ISNUMBER(SKUHistory!$I$4),B81&gt;=SKUHistory!$F$4,B81&lt;=SKUHistory!$I$4),1,0)</f>
        <v>2</v>
      </c>
      <c r="M81" t="str">
        <f>IF(AND(K81=SKUHistory!$C$4,H81="Ready",SKUHistory!$C$4&lt;&gt;"",ISNUMBER(SKUHistory!$F$4),ISNUMBER(SKUHistory!$I$4),B81&gt;=SKUHistory!$F$4,B81&lt;=SKUHistory!$I$4),L81,"")</f>
      </c>
    </row>
    <row r="82" ht="23" customHeight="1">
      <c r="A82" s="65"/>
      <c r="B82" s="63"/>
      <c r="C82" s="65"/>
      <c r="D82" s="65"/>
      <c r="E82" s="66"/>
      <c r="F82" s="65"/>
      <c r="G82" s="65"/>
      <c r="H82" s="6" t="str">
        <f>IF(COUNTA(A82:G82,J82)=0,"",IF(OR(A82="",B82="",K82="",D82="",COUNT(E82)&lt;&gt;1),"Missing inputs",IF(SUMPRODUCT(--('Transactions'!$A$7:$A$106=A82))&lt;&gt;1,"Duplicate ID",IF(SUMPRODUCT(--('Products'!$A$7:$A$16=K82),--('Products'!$P$7:$P$16="Ready"))&lt;&gt;1,"Check SKU",IF(OR(NOT(ISNUMBER(B82)),B82&lt;1,B82&gt;73415,MOD(B82,1)&lt;&gt;0),"Check date",IF(OR(E82&lt;=0,E82&gt;1000000000,MOD(E82,1)&lt;&gt;0),"Check quantity",IF(AND(D82&lt;&gt;"IN",D82&lt;&gt;"OUT",D82&lt;&gt;"ADJUST+",D82&lt;&gt;"ADJUST-"),"Check movement",IF(J82="","Ready",IF(D82&lt;&gt;"IN","PO link needs IN",IF(AND(C82&lt;&gt;"",C82&lt;&gt;K82),"PO / SKU mismatch",IF(SUMPRODUCT(--('PurchaseOrders'!$A$7:$A$16=J82),--('PurchaseOrders'!$N$7:$N$16="Ready"))&lt;&gt;1,"Check PO link","Ready")))))))))))</f>
      </c>
      <c r="I82" s="17" t="str">
        <f>IF(H82&lt;&gt;"Ready","",IF(OR(D82="IN",D82="ADJUST+"),E82,-E82))</f>
      </c>
      <c r="J82" s="65"/>
      <c r="K82" t="str">
        <f>IF(COUNTA(A82:G82,J82)=0,"",IF(J82="",C82,IFERROR(INDEX('PurchaseOrders'!$C$7:$C$16,SUMPRODUCT(--('PurchaseOrders'!$A$7:$A$16=J82),ROW('PurchaseOrders'!$A$7:$A$16))-6),"")))</f>
      </c>
      <c r="L82" t="n">
        <f>L81+IF(AND(K82=SKUHistory!$C$4,H82="Ready",SKUHistory!$C$4&lt;&gt;"",ISNUMBER(SKUHistory!$F$4),ISNUMBER(SKUHistory!$I$4),B82&gt;=SKUHistory!$F$4,B82&lt;=SKUHistory!$I$4),1,0)</f>
        <v>2</v>
      </c>
      <c r="M82" t="str">
        <f>IF(AND(K82=SKUHistory!$C$4,H82="Ready",SKUHistory!$C$4&lt;&gt;"",ISNUMBER(SKUHistory!$F$4),ISNUMBER(SKUHistory!$I$4),B82&gt;=SKUHistory!$F$4,B82&lt;=SKUHistory!$I$4),L82,"")</f>
      </c>
    </row>
    <row r="83" ht="23" customHeight="1">
      <c r="A83" s="65"/>
      <c r="B83" s="63"/>
      <c r="C83" s="65"/>
      <c r="D83" s="65"/>
      <c r="E83" s="66"/>
      <c r="F83" s="65"/>
      <c r="G83" s="65"/>
      <c r="H83" s="6" t="str">
        <f>IF(COUNTA(A83:G83,J83)=0,"",IF(OR(A83="",B83="",K83="",D83="",COUNT(E83)&lt;&gt;1),"Missing inputs",IF(SUMPRODUCT(--('Transactions'!$A$7:$A$106=A83))&lt;&gt;1,"Duplicate ID",IF(SUMPRODUCT(--('Products'!$A$7:$A$16=K83),--('Products'!$P$7:$P$16="Ready"))&lt;&gt;1,"Check SKU",IF(OR(NOT(ISNUMBER(B83)),B83&lt;1,B83&gt;73415,MOD(B83,1)&lt;&gt;0),"Check date",IF(OR(E83&lt;=0,E83&gt;1000000000,MOD(E83,1)&lt;&gt;0),"Check quantity",IF(AND(D83&lt;&gt;"IN",D83&lt;&gt;"OUT",D83&lt;&gt;"ADJUST+",D83&lt;&gt;"ADJUST-"),"Check movement",IF(J83="","Ready",IF(D83&lt;&gt;"IN","PO link needs IN",IF(AND(C83&lt;&gt;"",C83&lt;&gt;K83),"PO / SKU mismatch",IF(SUMPRODUCT(--('PurchaseOrders'!$A$7:$A$16=J83),--('PurchaseOrders'!$N$7:$N$16="Ready"))&lt;&gt;1,"Check PO link","Ready")))))))))))</f>
      </c>
      <c r="I83" s="17" t="str">
        <f>IF(H83&lt;&gt;"Ready","",IF(OR(D83="IN",D83="ADJUST+"),E83,-E83))</f>
      </c>
      <c r="J83" s="65"/>
      <c r="K83" t="str">
        <f>IF(COUNTA(A83:G83,J83)=0,"",IF(J83="",C83,IFERROR(INDEX('PurchaseOrders'!$C$7:$C$16,SUMPRODUCT(--('PurchaseOrders'!$A$7:$A$16=J83),ROW('PurchaseOrders'!$A$7:$A$16))-6),"")))</f>
      </c>
      <c r="L83" t="n">
        <f>L82+IF(AND(K83=SKUHistory!$C$4,H83="Ready",SKUHistory!$C$4&lt;&gt;"",ISNUMBER(SKUHistory!$F$4),ISNUMBER(SKUHistory!$I$4),B83&gt;=SKUHistory!$F$4,B83&lt;=SKUHistory!$I$4),1,0)</f>
        <v>2</v>
      </c>
      <c r="M83" t="str">
        <f>IF(AND(K83=SKUHistory!$C$4,H83="Ready",SKUHistory!$C$4&lt;&gt;"",ISNUMBER(SKUHistory!$F$4),ISNUMBER(SKUHistory!$I$4),B83&gt;=SKUHistory!$F$4,B83&lt;=SKUHistory!$I$4),L83,"")</f>
      </c>
    </row>
    <row r="84" ht="23" customHeight="1">
      <c r="A84" s="65"/>
      <c r="B84" s="63"/>
      <c r="C84" s="65"/>
      <c r="D84" s="65"/>
      <c r="E84" s="66"/>
      <c r="F84" s="65"/>
      <c r="G84" s="65"/>
      <c r="H84" s="6" t="str">
        <f>IF(COUNTA(A84:G84,J84)=0,"",IF(OR(A84="",B84="",K84="",D84="",COUNT(E84)&lt;&gt;1),"Missing inputs",IF(SUMPRODUCT(--('Transactions'!$A$7:$A$106=A84))&lt;&gt;1,"Duplicate ID",IF(SUMPRODUCT(--('Products'!$A$7:$A$16=K84),--('Products'!$P$7:$P$16="Ready"))&lt;&gt;1,"Check SKU",IF(OR(NOT(ISNUMBER(B84)),B84&lt;1,B84&gt;73415,MOD(B84,1)&lt;&gt;0),"Check date",IF(OR(E84&lt;=0,E84&gt;1000000000,MOD(E84,1)&lt;&gt;0),"Check quantity",IF(AND(D84&lt;&gt;"IN",D84&lt;&gt;"OUT",D84&lt;&gt;"ADJUST+",D84&lt;&gt;"ADJUST-"),"Check movement",IF(J84="","Ready",IF(D84&lt;&gt;"IN","PO link needs IN",IF(AND(C84&lt;&gt;"",C84&lt;&gt;K84),"PO / SKU mismatch",IF(SUMPRODUCT(--('PurchaseOrders'!$A$7:$A$16=J84),--('PurchaseOrders'!$N$7:$N$16="Ready"))&lt;&gt;1,"Check PO link","Ready")))))))))))</f>
      </c>
      <c r="I84" s="17" t="str">
        <f>IF(H84&lt;&gt;"Ready","",IF(OR(D84="IN",D84="ADJUST+"),E84,-E84))</f>
      </c>
      <c r="J84" s="65"/>
      <c r="K84" t="str">
        <f>IF(COUNTA(A84:G84,J84)=0,"",IF(J84="",C84,IFERROR(INDEX('PurchaseOrders'!$C$7:$C$16,SUMPRODUCT(--('PurchaseOrders'!$A$7:$A$16=J84),ROW('PurchaseOrders'!$A$7:$A$16))-6),"")))</f>
      </c>
      <c r="L84" t="n">
        <f>L83+IF(AND(K84=SKUHistory!$C$4,H84="Ready",SKUHistory!$C$4&lt;&gt;"",ISNUMBER(SKUHistory!$F$4),ISNUMBER(SKUHistory!$I$4),B84&gt;=SKUHistory!$F$4,B84&lt;=SKUHistory!$I$4),1,0)</f>
        <v>2</v>
      </c>
      <c r="M84" t="str">
        <f>IF(AND(K84=SKUHistory!$C$4,H84="Ready",SKUHistory!$C$4&lt;&gt;"",ISNUMBER(SKUHistory!$F$4),ISNUMBER(SKUHistory!$I$4),B84&gt;=SKUHistory!$F$4,B84&lt;=SKUHistory!$I$4),L84,"")</f>
      </c>
    </row>
    <row r="85" ht="23" customHeight="1">
      <c r="A85" s="65"/>
      <c r="B85" s="63"/>
      <c r="C85" s="65"/>
      <c r="D85" s="65"/>
      <c r="E85" s="66"/>
      <c r="F85" s="65"/>
      <c r="G85" s="65"/>
      <c r="H85" s="6" t="str">
        <f>IF(COUNTA(A85:G85,J85)=0,"",IF(OR(A85="",B85="",K85="",D85="",COUNT(E85)&lt;&gt;1),"Missing inputs",IF(SUMPRODUCT(--('Transactions'!$A$7:$A$106=A85))&lt;&gt;1,"Duplicate ID",IF(SUMPRODUCT(--('Products'!$A$7:$A$16=K85),--('Products'!$P$7:$P$16="Ready"))&lt;&gt;1,"Check SKU",IF(OR(NOT(ISNUMBER(B85)),B85&lt;1,B85&gt;73415,MOD(B85,1)&lt;&gt;0),"Check date",IF(OR(E85&lt;=0,E85&gt;1000000000,MOD(E85,1)&lt;&gt;0),"Check quantity",IF(AND(D85&lt;&gt;"IN",D85&lt;&gt;"OUT",D85&lt;&gt;"ADJUST+",D85&lt;&gt;"ADJUST-"),"Check movement",IF(J85="","Ready",IF(D85&lt;&gt;"IN","PO link needs IN",IF(AND(C85&lt;&gt;"",C85&lt;&gt;K85),"PO / SKU mismatch",IF(SUMPRODUCT(--('PurchaseOrders'!$A$7:$A$16=J85),--('PurchaseOrders'!$N$7:$N$16="Ready"))&lt;&gt;1,"Check PO link","Ready")))))))))))</f>
      </c>
      <c r="I85" s="17" t="str">
        <f>IF(H85&lt;&gt;"Ready","",IF(OR(D85="IN",D85="ADJUST+"),E85,-E85))</f>
      </c>
      <c r="J85" s="65"/>
      <c r="K85" t="str">
        <f>IF(COUNTA(A85:G85,J85)=0,"",IF(J85="",C85,IFERROR(INDEX('PurchaseOrders'!$C$7:$C$16,SUMPRODUCT(--('PurchaseOrders'!$A$7:$A$16=J85),ROW('PurchaseOrders'!$A$7:$A$16))-6),"")))</f>
      </c>
      <c r="L85" t="n">
        <f>L84+IF(AND(K85=SKUHistory!$C$4,H85="Ready",SKUHistory!$C$4&lt;&gt;"",ISNUMBER(SKUHistory!$F$4),ISNUMBER(SKUHistory!$I$4),B85&gt;=SKUHistory!$F$4,B85&lt;=SKUHistory!$I$4),1,0)</f>
        <v>2</v>
      </c>
      <c r="M85" t="str">
        <f>IF(AND(K85=SKUHistory!$C$4,H85="Ready",SKUHistory!$C$4&lt;&gt;"",ISNUMBER(SKUHistory!$F$4),ISNUMBER(SKUHistory!$I$4),B85&gt;=SKUHistory!$F$4,B85&lt;=SKUHistory!$I$4),L85,"")</f>
      </c>
    </row>
    <row r="86" ht="23" customHeight="1">
      <c r="A86" s="65"/>
      <c r="B86" s="63"/>
      <c r="C86" s="65"/>
      <c r="D86" s="65"/>
      <c r="E86" s="66"/>
      <c r="F86" s="65"/>
      <c r="G86" s="65"/>
      <c r="H86" s="6" t="str">
        <f>IF(COUNTA(A86:G86,J86)=0,"",IF(OR(A86="",B86="",K86="",D86="",COUNT(E86)&lt;&gt;1),"Missing inputs",IF(SUMPRODUCT(--('Transactions'!$A$7:$A$106=A86))&lt;&gt;1,"Duplicate ID",IF(SUMPRODUCT(--('Products'!$A$7:$A$16=K86),--('Products'!$P$7:$P$16="Ready"))&lt;&gt;1,"Check SKU",IF(OR(NOT(ISNUMBER(B86)),B86&lt;1,B86&gt;73415,MOD(B86,1)&lt;&gt;0),"Check date",IF(OR(E86&lt;=0,E86&gt;1000000000,MOD(E86,1)&lt;&gt;0),"Check quantity",IF(AND(D86&lt;&gt;"IN",D86&lt;&gt;"OUT",D86&lt;&gt;"ADJUST+",D86&lt;&gt;"ADJUST-"),"Check movement",IF(J86="","Ready",IF(D86&lt;&gt;"IN","PO link needs IN",IF(AND(C86&lt;&gt;"",C86&lt;&gt;K86),"PO / SKU mismatch",IF(SUMPRODUCT(--('PurchaseOrders'!$A$7:$A$16=J86),--('PurchaseOrders'!$N$7:$N$16="Ready"))&lt;&gt;1,"Check PO link","Ready")))))))))))</f>
      </c>
      <c r="I86" s="17" t="str">
        <f>IF(H86&lt;&gt;"Ready","",IF(OR(D86="IN",D86="ADJUST+"),E86,-E86))</f>
      </c>
      <c r="J86" s="65"/>
      <c r="K86" t="str">
        <f>IF(COUNTA(A86:G86,J86)=0,"",IF(J86="",C86,IFERROR(INDEX('PurchaseOrders'!$C$7:$C$16,SUMPRODUCT(--('PurchaseOrders'!$A$7:$A$16=J86),ROW('PurchaseOrders'!$A$7:$A$16))-6),"")))</f>
      </c>
      <c r="L86" t="n">
        <f>L85+IF(AND(K86=SKUHistory!$C$4,H86="Ready",SKUHistory!$C$4&lt;&gt;"",ISNUMBER(SKUHistory!$F$4),ISNUMBER(SKUHistory!$I$4),B86&gt;=SKUHistory!$F$4,B86&lt;=SKUHistory!$I$4),1,0)</f>
        <v>2</v>
      </c>
      <c r="M86" t="str">
        <f>IF(AND(K86=SKUHistory!$C$4,H86="Ready",SKUHistory!$C$4&lt;&gt;"",ISNUMBER(SKUHistory!$F$4),ISNUMBER(SKUHistory!$I$4),B86&gt;=SKUHistory!$F$4,B86&lt;=SKUHistory!$I$4),L86,"")</f>
      </c>
    </row>
    <row r="87" ht="23" customHeight="1">
      <c r="A87" s="65"/>
      <c r="B87" s="63"/>
      <c r="C87" s="65"/>
      <c r="D87" s="65"/>
      <c r="E87" s="66"/>
      <c r="F87" s="65"/>
      <c r="G87" s="65"/>
      <c r="H87" s="6" t="str">
        <f>IF(COUNTA(A87:G87,J87)=0,"",IF(OR(A87="",B87="",K87="",D87="",COUNT(E87)&lt;&gt;1),"Missing inputs",IF(SUMPRODUCT(--('Transactions'!$A$7:$A$106=A87))&lt;&gt;1,"Duplicate ID",IF(SUMPRODUCT(--('Products'!$A$7:$A$16=K87),--('Products'!$P$7:$P$16="Ready"))&lt;&gt;1,"Check SKU",IF(OR(NOT(ISNUMBER(B87)),B87&lt;1,B87&gt;73415,MOD(B87,1)&lt;&gt;0),"Check date",IF(OR(E87&lt;=0,E87&gt;1000000000,MOD(E87,1)&lt;&gt;0),"Check quantity",IF(AND(D87&lt;&gt;"IN",D87&lt;&gt;"OUT",D87&lt;&gt;"ADJUST+",D87&lt;&gt;"ADJUST-"),"Check movement",IF(J87="","Ready",IF(D87&lt;&gt;"IN","PO link needs IN",IF(AND(C87&lt;&gt;"",C87&lt;&gt;K87),"PO / SKU mismatch",IF(SUMPRODUCT(--('PurchaseOrders'!$A$7:$A$16=J87),--('PurchaseOrders'!$N$7:$N$16="Ready"))&lt;&gt;1,"Check PO link","Ready")))))))))))</f>
      </c>
      <c r="I87" s="17" t="str">
        <f>IF(H87&lt;&gt;"Ready","",IF(OR(D87="IN",D87="ADJUST+"),E87,-E87))</f>
      </c>
      <c r="J87" s="65"/>
      <c r="K87" t="str">
        <f>IF(COUNTA(A87:G87,J87)=0,"",IF(J87="",C87,IFERROR(INDEX('PurchaseOrders'!$C$7:$C$16,SUMPRODUCT(--('PurchaseOrders'!$A$7:$A$16=J87),ROW('PurchaseOrders'!$A$7:$A$16))-6),"")))</f>
      </c>
      <c r="L87" t="n">
        <f>L86+IF(AND(K87=SKUHistory!$C$4,H87="Ready",SKUHistory!$C$4&lt;&gt;"",ISNUMBER(SKUHistory!$F$4),ISNUMBER(SKUHistory!$I$4),B87&gt;=SKUHistory!$F$4,B87&lt;=SKUHistory!$I$4),1,0)</f>
        <v>2</v>
      </c>
      <c r="M87" t="str">
        <f>IF(AND(K87=SKUHistory!$C$4,H87="Ready",SKUHistory!$C$4&lt;&gt;"",ISNUMBER(SKUHistory!$F$4),ISNUMBER(SKUHistory!$I$4),B87&gt;=SKUHistory!$F$4,B87&lt;=SKUHistory!$I$4),L87,"")</f>
      </c>
    </row>
    <row r="88" ht="23" customHeight="1">
      <c r="A88" s="65"/>
      <c r="B88" s="63"/>
      <c r="C88" s="65"/>
      <c r="D88" s="65"/>
      <c r="E88" s="66"/>
      <c r="F88" s="65"/>
      <c r="G88" s="65"/>
      <c r="H88" s="6" t="str">
        <f>IF(COUNTA(A88:G88,J88)=0,"",IF(OR(A88="",B88="",K88="",D88="",COUNT(E88)&lt;&gt;1),"Missing inputs",IF(SUMPRODUCT(--('Transactions'!$A$7:$A$106=A88))&lt;&gt;1,"Duplicate ID",IF(SUMPRODUCT(--('Products'!$A$7:$A$16=K88),--('Products'!$P$7:$P$16="Ready"))&lt;&gt;1,"Check SKU",IF(OR(NOT(ISNUMBER(B88)),B88&lt;1,B88&gt;73415,MOD(B88,1)&lt;&gt;0),"Check date",IF(OR(E88&lt;=0,E88&gt;1000000000,MOD(E88,1)&lt;&gt;0),"Check quantity",IF(AND(D88&lt;&gt;"IN",D88&lt;&gt;"OUT",D88&lt;&gt;"ADJUST+",D88&lt;&gt;"ADJUST-"),"Check movement",IF(J88="","Ready",IF(D88&lt;&gt;"IN","PO link needs IN",IF(AND(C88&lt;&gt;"",C88&lt;&gt;K88),"PO / SKU mismatch",IF(SUMPRODUCT(--('PurchaseOrders'!$A$7:$A$16=J88),--('PurchaseOrders'!$N$7:$N$16="Ready"))&lt;&gt;1,"Check PO link","Ready")))))))))))</f>
      </c>
      <c r="I88" s="17" t="str">
        <f>IF(H88&lt;&gt;"Ready","",IF(OR(D88="IN",D88="ADJUST+"),E88,-E88))</f>
      </c>
      <c r="J88" s="65"/>
      <c r="K88" t="str">
        <f>IF(COUNTA(A88:G88,J88)=0,"",IF(J88="",C88,IFERROR(INDEX('PurchaseOrders'!$C$7:$C$16,SUMPRODUCT(--('PurchaseOrders'!$A$7:$A$16=J88),ROW('PurchaseOrders'!$A$7:$A$16))-6),"")))</f>
      </c>
      <c r="L88" t="n">
        <f>L87+IF(AND(K88=SKUHistory!$C$4,H88="Ready",SKUHistory!$C$4&lt;&gt;"",ISNUMBER(SKUHistory!$F$4),ISNUMBER(SKUHistory!$I$4),B88&gt;=SKUHistory!$F$4,B88&lt;=SKUHistory!$I$4),1,0)</f>
        <v>2</v>
      </c>
      <c r="M88" t="str">
        <f>IF(AND(K88=SKUHistory!$C$4,H88="Ready",SKUHistory!$C$4&lt;&gt;"",ISNUMBER(SKUHistory!$F$4),ISNUMBER(SKUHistory!$I$4),B88&gt;=SKUHistory!$F$4,B88&lt;=SKUHistory!$I$4),L88,"")</f>
      </c>
    </row>
    <row r="89" ht="23" customHeight="1">
      <c r="A89" s="65"/>
      <c r="B89" s="63"/>
      <c r="C89" s="65"/>
      <c r="D89" s="65"/>
      <c r="E89" s="66"/>
      <c r="F89" s="65"/>
      <c r="G89" s="65"/>
      <c r="H89" s="6" t="str">
        <f>IF(COUNTA(A89:G89,J89)=0,"",IF(OR(A89="",B89="",K89="",D89="",COUNT(E89)&lt;&gt;1),"Missing inputs",IF(SUMPRODUCT(--('Transactions'!$A$7:$A$106=A89))&lt;&gt;1,"Duplicate ID",IF(SUMPRODUCT(--('Products'!$A$7:$A$16=K89),--('Products'!$P$7:$P$16="Ready"))&lt;&gt;1,"Check SKU",IF(OR(NOT(ISNUMBER(B89)),B89&lt;1,B89&gt;73415,MOD(B89,1)&lt;&gt;0),"Check date",IF(OR(E89&lt;=0,E89&gt;1000000000,MOD(E89,1)&lt;&gt;0),"Check quantity",IF(AND(D89&lt;&gt;"IN",D89&lt;&gt;"OUT",D89&lt;&gt;"ADJUST+",D89&lt;&gt;"ADJUST-"),"Check movement",IF(J89="","Ready",IF(D89&lt;&gt;"IN","PO link needs IN",IF(AND(C89&lt;&gt;"",C89&lt;&gt;K89),"PO / SKU mismatch",IF(SUMPRODUCT(--('PurchaseOrders'!$A$7:$A$16=J89),--('PurchaseOrders'!$N$7:$N$16="Ready"))&lt;&gt;1,"Check PO link","Ready")))))))))))</f>
      </c>
      <c r="I89" s="17" t="str">
        <f>IF(H89&lt;&gt;"Ready","",IF(OR(D89="IN",D89="ADJUST+"),E89,-E89))</f>
      </c>
      <c r="J89" s="65"/>
      <c r="K89" t="str">
        <f>IF(COUNTA(A89:G89,J89)=0,"",IF(J89="",C89,IFERROR(INDEX('PurchaseOrders'!$C$7:$C$16,SUMPRODUCT(--('PurchaseOrders'!$A$7:$A$16=J89),ROW('PurchaseOrders'!$A$7:$A$16))-6),"")))</f>
      </c>
      <c r="L89" t="n">
        <f>L88+IF(AND(K89=SKUHistory!$C$4,H89="Ready",SKUHistory!$C$4&lt;&gt;"",ISNUMBER(SKUHistory!$F$4),ISNUMBER(SKUHistory!$I$4),B89&gt;=SKUHistory!$F$4,B89&lt;=SKUHistory!$I$4),1,0)</f>
        <v>2</v>
      </c>
      <c r="M89" t="str">
        <f>IF(AND(K89=SKUHistory!$C$4,H89="Ready",SKUHistory!$C$4&lt;&gt;"",ISNUMBER(SKUHistory!$F$4),ISNUMBER(SKUHistory!$I$4),B89&gt;=SKUHistory!$F$4,B89&lt;=SKUHistory!$I$4),L89,"")</f>
      </c>
    </row>
    <row r="90" ht="23" customHeight="1">
      <c r="A90" s="65"/>
      <c r="B90" s="63"/>
      <c r="C90" s="65"/>
      <c r="D90" s="65"/>
      <c r="E90" s="66"/>
      <c r="F90" s="65"/>
      <c r="G90" s="65"/>
      <c r="H90" s="6" t="str">
        <f>IF(COUNTA(A90:G90,J90)=0,"",IF(OR(A90="",B90="",K90="",D90="",COUNT(E90)&lt;&gt;1),"Missing inputs",IF(SUMPRODUCT(--('Transactions'!$A$7:$A$106=A90))&lt;&gt;1,"Duplicate ID",IF(SUMPRODUCT(--('Products'!$A$7:$A$16=K90),--('Products'!$P$7:$P$16="Ready"))&lt;&gt;1,"Check SKU",IF(OR(NOT(ISNUMBER(B90)),B90&lt;1,B90&gt;73415,MOD(B90,1)&lt;&gt;0),"Check date",IF(OR(E90&lt;=0,E90&gt;1000000000,MOD(E90,1)&lt;&gt;0),"Check quantity",IF(AND(D90&lt;&gt;"IN",D90&lt;&gt;"OUT",D90&lt;&gt;"ADJUST+",D90&lt;&gt;"ADJUST-"),"Check movement",IF(J90="","Ready",IF(D90&lt;&gt;"IN","PO link needs IN",IF(AND(C90&lt;&gt;"",C90&lt;&gt;K90),"PO / SKU mismatch",IF(SUMPRODUCT(--('PurchaseOrders'!$A$7:$A$16=J90),--('PurchaseOrders'!$N$7:$N$16="Ready"))&lt;&gt;1,"Check PO link","Ready")))))))))))</f>
      </c>
      <c r="I90" s="17" t="str">
        <f>IF(H90&lt;&gt;"Ready","",IF(OR(D90="IN",D90="ADJUST+"),E90,-E90))</f>
      </c>
      <c r="J90" s="65"/>
      <c r="K90" t="str">
        <f>IF(COUNTA(A90:G90,J90)=0,"",IF(J90="",C90,IFERROR(INDEX('PurchaseOrders'!$C$7:$C$16,SUMPRODUCT(--('PurchaseOrders'!$A$7:$A$16=J90),ROW('PurchaseOrders'!$A$7:$A$16))-6),"")))</f>
      </c>
      <c r="L90" t="n">
        <f>L89+IF(AND(K90=SKUHistory!$C$4,H90="Ready",SKUHistory!$C$4&lt;&gt;"",ISNUMBER(SKUHistory!$F$4),ISNUMBER(SKUHistory!$I$4),B90&gt;=SKUHistory!$F$4,B90&lt;=SKUHistory!$I$4),1,0)</f>
        <v>2</v>
      </c>
      <c r="M90" t="str">
        <f>IF(AND(K90=SKUHistory!$C$4,H90="Ready",SKUHistory!$C$4&lt;&gt;"",ISNUMBER(SKUHistory!$F$4),ISNUMBER(SKUHistory!$I$4),B90&gt;=SKUHistory!$F$4,B90&lt;=SKUHistory!$I$4),L90,"")</f>
      </c>
    </row>
    <row r="91" ht="23" customHeight="1">
      <c r="A91" s="65"/>
      <c r="B91" s="63"/>
      <c r="C91" s="65"/>
      <c r="D91" s="65"/>
      <c r="E91" s="66"/>
      <c r="F91" s="65"/>
      <c r="G91" s="65"/>
      <c r="H91" s="6" t="str">
        <f>IF(COUNTA(A91:G91,J91)=0,"",IF(OR(A91="",B91="",K91="",D91="",COUNT(E91)&lt;&gt;1),"Missing inputs",IF(SUMPRODUCT(--('Transactions'!$A$7:$A$106=A91))&lt;&gt;1,"Duplicate ID",IF(SUMPRODUCT(--('Products'!$A$7:$A$16=K91),--('Products'!$P$7:$P$16="Ready"))&lt;&gt;1,"Check SKU",IF(OR(NOT(ISNUMBER(B91)),B91&lt;1,B91&gt;73415,MOD(B91,1)&lt;&gt;0),"Check date",IF(OR(E91&lt;=0,E91&gt;1000000000,MOD(E91,1)&lt;&gt;0),"Check quantity",IF(AND(D91&lt;&gt;"IN",D91&lt;&gt;"OUT",D91&lt;&gt;"ADJUST+",D91&lt;&gt;"ADJUST-"),"Check movement",IF(J91="","Ready",IF(D91&lt;&gt;"IN","PO link needs IN",IF(AND(C91&lt;&gt;"",C91&lt;&gt;K91),"PO / SKU mismatch",IF(SUMPRODUCT(--('PurchaseOrders'!$A$7:$A$16=J91),--('PurchaseOrders'!$N$7:$N$16="Ready"))&lt;&gt;1,"Check PO link","Ready")))))))))))</f>
      </c>
      <c r="I91" s="17" t="str">
        <f>IF(H91&lt;&gt;"Ready","",IF(OR(D91="IN",D91="ADJUST+"),E91,-E91))</f>
      </c>
      <c r="J91" s="65"/>
      <c r="K91" t="str">
        <f>IF(COUNTA(A91:G91,J91)=0,"",IF(J91="",C91,IFERROR(INDEX('PurchaseOrders'!$C$7:$C$16,SUMPRODUCT(--('PurchaseOrders'!$A$7:$A$16=J91),ROW('PurchaseOrders'!$A$7:$A$16))-6),"")))</f>
      </c>
      <c r="L91" t="n">
        <f>L90+IF(AND(K91=SKUHistory!$C$4,H91="Ready",SKUHistory!$C$4&lt;&gt;"",ISNUMBER(SKUHistory!$F$4),ISNUMBER(SKUHistory!$I$4),B91&gt;=SKUHistory!$F$4,B91&lt;=SKUHistory!$I$4),1,0)</f>
        <v>2</v>
      </c>
      <c r="M91" t="str">
        <f>IF(AND(K91=SKUHistory!$C$4,H91="Ready",SKUHistory!$C$4&lt;&gt;"",ISNUMBER(SKUHistory!$F$4),ISNUMBER(SKUHistory!$I$4),B91&gt;=SKUHistory!$F$4,B91&lt;=SKUHistory!$I$4),L91,"")</f>
      </c>
    </row>
    <row r="92" ht="23" customHeight="1">
      <c r="A92" s="65"/>
      <c r="B92" s="63"/>
      <c r="C92" s="65"/>
      <c r="D92" s="65"/>
      <c r="E92" s="66"/>
      <c r="F92" s="65"/>
      <c r="G92" s="65"/>
      <c r="H92" s="6" t="str">
        <f>IF(COUNTA(A92:G92,J92)=0,"",IF(OR(A92="",B92="",K92="",D92="",COUNT(E92)&lt;&gt;1),"Missing inputs",IF(SUMPRODUCT(--('Transactions'!$A$7:$A$106=A92))&lt;&gt;1,"Duplicate ID",IF(SUMPRODUCT(--('Products'!$A$7:$A$16=K92),--('Products'!$P$7:$P$16="Ready"))&lt;&gt;1,"Check SKU",IF(OR(NOT(ISNUMBER(B92)),B92&lt;1,B92&gt;73415,MOD(B92,1)&lt;&gt;0),"Check date",IF(OR(E92&lt;=0,E92&gt;1000000000,MOD(E92,1)&lt;&gt;0),"Check quantity",IF(AND(D92&lt;&gt;"IN",D92&lt;&gt;"OUT",D92&lt;&gt;"ADJUST+",D92&lt;&gt;"ADJUST-"),"Check movement",IF(J92="","Ready",IF(D92&lt;&gt;"IN","PO link needs IN",IF(AND(C92&lt;&gt;"",C92&lt;&gt;K92),"PO / SKU mismatch",IF(SUMPRODUCT(--('PurchaseOrders'!$A$7:$A$16=J92),--('PurchaseOrders'!$N$7:$N$16="Ready"))&lt;&gt;1,"Check PO link","Ready")))))))))))</f>
      </c>
      <c r="I92" s="17" t="str">
        <f>IF(H92&lt;&gt;"Ready","",IF(OR(D92="IN",D92="ADJUST+"),E92,-E92))</f>
      </c>
      <c r="J92" s="65"/>
      <c r="K92" t="str">
        <f>IF(COUNTA(A92:G92,J92)=0,"",IF(J92="",C92,IFERROR(INDEX('PurchaseOrders'!$C$7:$C$16,SUMPRODUCT(--('PurchaseOrders'!$A$7:$A$16=J92),ROW('PurchaseOrders'!$A$7:$A$16))-6),"")))</f>
      </c>
      <c r="L92" t="n">
        <f>L91+IF(AND(K92=SKUHistory!$C$4,H92="Ready",SKUHistory!$C$4&lt;&gt;"",ISNUMBER(SKUHistory!$F$4),ISNUMBER(SKUHistory!$I$4),B92&gt;=SKUHistory!$F$4,B92&lt;=SKUHistory!$I$4),1,0)</f>
        <v>2</v>
      </c>
      <c r="M92" t="str">
        <f>IF(AND(K92=SKUHistory!$C$4,H92="Ready",SKUHistory!$C$4&lt;&gt;"",ISNUMBER(SKUHistory!$F$4),ISNUMBER(SKUHistory!$I$4),B92&gt;=SKUHistory!$F$4,B92&lt;=SKUHistory!$I$4),L92,"")</f>
      </c>
    </row>
    <row r="93" ht="23" customHeight="1">
      <c r="A93" s="65"/>
      <c r="B93" s="63"/>
      <c r="C93" s="65"/>
      <c r="D93" s="65"/>
      <c r="E93" s="66"/>
      <c r="F93" s="65"/>
      <c r="G93" s="65"/>
      <c r="H93" s="6" t="str">
        <f>IF(COUNTA(A93:G93,J93)=0,"",IF(OR(A93="",B93="",K93="",D93="",COUNT(E93)&lt;&gt;1),"Missing inputs",IF(SUMPRODUCT(--('Transactions'!$A$7:$A$106=A93))&lt;&gt;1,"Duplicate ID",IF(SUMPRODUCT(--('Products'!$A$7:$A$16=K93),--('Products'!$P$7:$P$16="Ready"))&lt;&gt;1,"Check SKU",IF(OR(NOT(ISNUMBER(B93)),B93&lt;1,B93&gt;73415,MOD(B93,1)&lt;&gt;0),"Check date",IF(OR(E93&lt;=0,E93&gt;1000000000,MOD(E93,1)&lt;&gt;0),"Check quantity",IF(AND(D93&lt;&gt;"IN",D93&lt;&gt;"OUT",D93&lt;&gt;"ADJUST+",D93&lt;&gt;"ADJUST-"),"Check movement",IF(J93="","Ready",IF(D93&lt;&gt;"IN","PO link needs IN",IF(AND(C93&lt;&gt;"",C93&lt;&gt;K93),"PO / SKU mismatch",IF(SUMPRODUCT(--('PurchaseOrders'!$A$7:$A$16=J93),--('PurchaseOrders'!$N$7:$N$16="Ready"))&lt;&gt;1,"Check PO link","Ready")))))))))))</f>
      </c>
      <c r="I93" s="17" t="str">
        <f>IF(H93&lt;&gt;"Ready","",IF(OR(D93="IN",D93="ADJUST+"),E93,-E93))</f>
      </c>
      <c r="J93" s="65"/>
      <c r="K93" t="str">
        <f>IF(COUNTA(A93:G93,J93)=0,"",IF(J93="",C93,IFERROR(INDEX('PurchaseOrders'!$C$7:$C$16,SUMPRODUCT(--('PurchaseOrders'!$A$7:$A$16=J93),ROW('PurchaseOrders'!$A$7:$A$16))-6),"")))</f>
      </c>
      <c r="L93" t="n">
        <f>L92+IF(AND(K93=SKUHistory!$C$4,H93="Ready",SKUHistory!$C$4&lt;&gt;"",ISNUMBER(SKUHistory!$F$4),ISNUMBER(SKUHistory!$I$4),B93&gt;=SKUHistory!$F$4,B93&lt;=SKUHistory!$I$4),1,0)</f>
        <v>2</v>
      </c>
      <c r="M93" t="str">
        <f>IF(AND(K93=SKUHistory!$C$4,H93="Ready",SKUHistory!$C$4&lt;&gt;"",ISNUMBER(SKUHistory!$F$4),ISNUMBER(SKUHistory!$I$4),B93&gt;=SKUHistory!$F$4,B93&lt;=SKUHistory!$I$4),L93,"")</f>
      </c>
    </row>
    <row r="94" ht="23" customHeight="1">
      <c r="A94" s="65"/>
      <c r="B94" s="63"/>
      <c r="C94" s="65"/>
      <c r="D94" s="65"/>
      <c r="E94" s="66"/>
      <c r="F94" s="65"/>
      <c r="G94" s="65"/>
      <c r="H94" s="6" t="str">
        <f>IF(COUNTA(A94:G94,J94)=0,"",IF(OR(A94="",B94="",K94="",D94="",COUNT(E94)&lt;&gt;1),"Missing inputs",IF(SUMPRODUCT(--('Transactions'!$A$7:$A$106=A94))&lt;&gt;1,"Duplicate ID",IF(SUMPRODUCT(--('Products'!$A$7:$A$16=K94),--('Products'!$P$7:$P$16="Ready"))&lt;&gt;1,"Check SKU",IF(OR(NOT(ISNUMBER(B94)),B94&lt;1,B94&gt;73415,MOD(B94,1)&lt;&gt;0),"Check date",IF(OR(E94&lt;=0,E94&gt;1000000000,MOD(E94,1)&lt;&gt;0),"Check quantity",IF(AND(D94&lt;&gt;"IN",D94&lt;&gt;"OUT",D94&lt;&gt;"ADJUST+",D94&lt;&gt;"ADJUST-"),"Check movement",IF(J94="","Ready",IF(D94&lt;&gt;"IN","PO link needs IN",IF(AND(C94&lt;&gt;"",C94&lt;&gt;K94),"PO / SKU mismatch",IF(SUMPRODUCT(--('PurchaseOrders'!$A$7:$A$16=J94),--('PurchaseOrders'!$N$7:$N$16="Ready"))&lt;&gt;1,"Check PO link","Ready")))))))))))</f>
      </c>
      <c r="I94" s="17" t="str">
        <f>IF(H94&lt;&gt;"Ready","",IF(OR(D94="IN",D94="ADJUST+"),E94,-E94))</f>
      </c>
      <c r="J94" s="65"/>
      <c r="K94" t="str">
        <f>IF(COUNTA(A94:G94,J94)=0,"",IF(J94="",C94,IFERROR(INDEX('PurchaseOrders'!$C$7:$C$16,SUMPRODUCT(--('PurchaseOrders'!$A$7:$A$16=J94),ROW('PurchaseOrders'!$A$7:$A$16))-6),"")))</f>
      </c>
      <c r="L94" t="n">
        <f>L93+IF(AND(K94=SKUHistory!$C$4,H94="Ready",SKUHistory!$C$4&lt;&gt;"",ISNUMBER(SKUHistory!$F$4),ISNUMBER(SKUHistory!$I$4),B94&gt;=SKUHistory!$F$4,B94&lt;=SKUHistory!$I$4),1,0)</f>
        <v>2</v>
      </c>
      <c r="M94" t="str">
        <f>IF(AND(K94=SKUHistory!$C$4,H94="Ready",SKUHistory!$C$4&lt;&gt;"",ISNUMBER(SKUHistory!$F$4),ISNUMBER(SKUHistory!$I$4),B94&gt;=SKUHistory!$F$4,B94&lt;=SKUHistory!$I$4),L94,"")</f>
      </c>
    </row>
    <row r="95" ht="23" customHeight="1">
      <c r="A95" s="65"/>
      <c r="B95" s="63"/>
      <c r="C95" s="65"/>
      <c r="D95" s="65"/>
      <c r="E95" s="66"/>
      <c r="F95" s="65"/>
      <c r="G95" s="65"/>
      <c r="H95" s="6" t="str">
        <f>IF(COUNTA(A95:G95,J95)=0,"",IF(OR(A95="",B95="",K95="",D95="",COUNT(E95)&lt;&gt;1),"Missing inputs",IF(SUMPRODUCT(--('Transactions'!$A$7:$A$106=A95))&lt;&gt;1,"Duplicate ID",IF(SUMPRODUCT(--('Products'!$A$7:$A$16=K95),--('Products'!$P$7:$P$16="Ready"))&lt;&gt;1,"Check SKU",IF(OR(NOT(ISNUMBER(B95)),B95&lt;1,B95&gt;73415,MOD(B95,1)&lt;&gt;0),"Check date",IF(OR(E95&lt;=0,E95&gt;1000000000,MOD(E95,1)&lt;&gt;0),"Check quantity",IF(AND(D95&lt;&gt;"IN",D95&lt;&gt;"OUT",D95&lt;&gt;"ADJUST+",D95&lt;&gt;"ADJUST-"),"Check movement",IF(J95="","Ready",IF(D95&lt;&gt;"IN","PO link needs IN",IF(AND(C95&lt;&gt;"",C95&lt;&gt;K95),"PO / SKU mismatch",IF(SUMPRODUCT(--('PurchaseOrders'!$A$7:$A$16=J95),--('PurchaseOrders'!$N$7:$N$16="Ready"))&lt;&gt;1,"Check PO link","Ready")))))))))))</f>
      </c>
      <c r="I95" s="17" t="str">
        <f>IF(H95&lt;&gt;"Ready","",IF(OR(D95="IN",D95="ADJUST+"),E95,-E95))</f>
      </c>
      <c r="J95" s="65"/>
      <c r="K95" t="str">
        <f>IF(COUNTA(A95:G95,J95)=0,"",IF(J95="",C95,IFERROR(INDEX('PurchaseOrders'!$C$7:$C$16,SUMPRODUCT(--('PurchaseOrders'!$A$7:$A$16=J95),ROW('PurchaseOrders'!$A$7:$A$16))-6),"")))</f>
      </c>
      <c r="L95" t="n">
        <f>L94+IF(AND(K95=SKUHistory!$C$4,H95="Ready",SKUHistory!$C$4&lt;&gt;"",ISNUMBER(SKUHistory!$F$4),ISNUMBER(SKUHistory!$I$4),B95&gt;=SKUHistory!$F$4,B95&lt;=SKUHistory!$I$4),1,0)</f>
        <v>2</v>
      </c>
      <c r="M95" t="str">
        <f>IF(AND(K95=SKUHistory!$C$4,H95="Ready",SKUHistory!$C$4&lt;&gt;"",ISNUMBER(SKUHistory!$F$4),ISNUMBER(SKUHistory!$I$4),B95&gt;=SKUHistory!$F$4,B95&lt;=SKUHistory!$I$4),L95,"")</f>
      </c>
    </row>
    <row r="96" ht="23" customHeight="1">
      <c r="A96" s="65"/>
      <c r="B96" s="63"/>
      <c r="C96" s="65"/>
      <c r="D96" s="65"/>
      <c r="E96" s="66"/>
      <c r="F96" s="65"/>
      <c r="G96" s="65"/>
      <c r="H96" s="6" t="str">
        <f>IF(COUNTA(A96:G96,J96)=0,"",IF(OR(A96="",B96="",K96="",D96="",COUNT(E96)&lt;&gt;1),"Missing inputs",IF(SUMPRODUCT(--('Transactions'!$A$7:$A$106=A96))&lt;&gt;1,"Duplicate ID",IF(SUMPRODUCT(--('Products'!$A$7:$A$16=K96),--('Products'!$P$7:$P$16="Ready"))&lt;&gt;1,"Check SKU",IF(OR(NOT(ISNUMBER(B96)),B96&lt;1,B96&gt;73415,MOD(B96,1)&lt;&gt;0),"Check date",IF(OR(E96&lt;=0,E96&gt;1000000000,MOD(E96,1)&lt;&gt;0),"Check quantity",IF(AND(D96&lt;&gt;"IN",D96&lt;&gt;"OUT",D96&lt;&gt;"ADJUST+",D96&lt;&gt;"ADJUST-"),"Check movement",IF(J96="","Ready",IF(D96&lt;&gt;"IN","PO link needs IN",IF(AND(C96&lt;&gt;"",C96&lt;&gt;K96),"PO / SKU mismatch",IF(SUMPRODUCT(--('PurchaseOrders'!$A$7:$A$16=J96),--('PurchaseOrders'!$N$7:$N$16="Ready"))&lt;&gt;1,"Check PO link","Ready")))))))))))</f>
      </c>
      <c r="I96" s="17" t="str">
        <f>IF(H96&lt;&gt;"Ready","",IF(OR(D96="IN",D96="ADJUST+"),E96,-E96))</f>
      </c>
      <c r="J96" s="65"/>
      <c r="K96" t="str">
        <f>IF(COUNTA(A96:G96,J96)=0,"",IF(J96="",C96,IFERROR(INDEX('PurchaseOrders'!$C$7:$C$16,SUMPRODUCT(--('PurchaseOrders'!$A$7:$A$16=J96),ROW('PurchaseOrders'!$A$7:$A$16))-6),"")))</f>
      </c>
      <c r="L96" t="n">
        <f>L95+IF(AND(K96=SKUHistory!$C$4,H96="Ready",SKUHistory!$C$4&lt;&gt;"",ISNUMBER(SKUHistory!$F$4),ISNUMBER(SKUHistory!$I$4),B96&gt;=SKUHistory!$F$4,B96&lt;=SKUHistory!$I$4),1,0)</f>
        <v>2</v>
      </c>
      <c r="M96" t="str">
        <f>IF(AND(K96=SKUHistory!$C$4,H96="Ready",SKUHistory!$C$4&lt;&gt;"",ISNUMBER(SKUHistory!$F$4),ISNUMBER(SKUHistory!$I$4),B96&gt;=SKUHistory!$F$4,B96&lt;=SKUHistory!$I$4),L96,"")</f>
      </c>
    </row>
    <row r="97" ht="23" customHeight="1">
      <c r="A97" s="65"/>
      <c r="B97" s="63"/>
      <c r="C97" s="65"/>
      <c r="D97" s="65"/>
      <c r="E97" s="66"/>
      <c r="F97" s="65"/>
      <c r="G97" s="65"/>
      <c r="H97" s="6" t="str">
        <f>IF(COUNTA(A97:G97,J97)=0,"",IF(OR(A97="",B97="",K97="",D97="",COUNT(E97)&lt;&gt;1),"Missing inputs",IF(SUMPRODUCT(--('Transactions'!$A$7:$A$106=A97))&lt;&gt;1,"Duplicate ID",IF(SUMPRODUCT(--('Products'!$A$7:$A$16=K97),--('Products'!$P$7:$P$16="Ready"))&lt;&gt;1,"Check SKU",IF(OR(NOT(ISNUMBER(B97)),B97&lt;1,B97&gt;73415,MOD(B97,1)&lt;&gt;0),"Check date",IF(OR(E97&lt;=0,E97&gt;1000000000,MOD(E97,1)&lt;&gt;0),"Check quantity",IF(AND(D97&lt;&gt;"IN",D97&lt;&gt;"OUT",D97&lt;&gt;"ADJUST+",D97&lt;&gt;"ADJUST-"),"Check movement",IF(J97="","Ready",IF(D97&lt;&gt;"IN","PO link needs IN",IF(AND(C97&lt;&gt;"",C97&lt;&gt;K97),"PO / SKU mismatch",IF(SUMPRODUCT(--('PurchaseOrders'!$A$7:$A$16=J97),--('PurchaseOrders'!$N$7:$N$16="Ready"))&lt;&gt;1,"Check PO link","Ready")))))))))))</f>
      </c>
      <c r="I97" s="17" t="str">
        <f>IF(H97&lt;&gt;"Ready","",IF(OR(D97="IN",D97="ADJUST+"),E97,-E97))</f>
      </c>
      <c r="J97" s="65"/>
      <c r="K97" t="str">
        <f>IF(COUNTA(A97:G97,J97)=0,"",IF(J97="",C97,IFERROR(INDEX('PurchaseOrders'!$C$7:$C$16,SUMPRODUCT(--('PurchaseOrders'!$A$7:$A$16=J97),ROW('PurchaseOrders'!$A$7:$A$16))-6),"")))</f>
      </c>
      <c r="L97" t="n">
        <f>L96+IF(AND(K97=SKUHistory!$C$4,H97="Ready",SKUHistory!$C$4&lt;&gt;"",ISNUMBER(SKUHistory!$F$4),ISNUMBER(SKUHistory!$I$4),B97&gt;=SKUHistory!$F$4,B97&lt;=SKUHistory!$I$4),1,0)</f>
        <v>2</v>
      </c>
      <c r="M97" t="str">
        <f>IF(AND(K97=SKUHistory!$C$4,H97="Ready",SKUHistory!$C$4&lt;&gt;"",ISNUMBER(SKUHistory!$F$4),ISNUMBER(SKUHistory!$I$4),B97&gt;=SKUHistory!$F$4,B97&lt;=SKUHistory!$I$4),L97,"")</f>
      </c>
    </row>
    <row r="98" ht="23" customHeight="1">
      <c r="A98" s="65"/>
      <c r="B98" s="63"/>
      <c r="C98" s="65"/>
      <c r="D98" s="65"/>
      <c r="E98" s="66"/>
      <c r="F98" s="65"/>
      <c r="G98" s="65"/>
      <c r="H98" s="6" t="str">
        <f>IF(COUNTA(A98:G98,J98)=0,"",IF(OR(A98="",B98="",K98="",D98="",COUNT(E98)&lt;&gt;1),"Missing inputs",IF(SUMPRODUCT(--('Transactions'!$A$7:$A$106=A98))&lt;&gt;1,"Duplicate ID",IF(SUMPRODUCT(--('Products'!$A$7:$A$16=K98),--('Products'!$P$7:$P$16="Ready"))&lt;&gt;1,"Check SKU",IF(OR(NOT(ISNUMBER(B98)),B98&lt;1,B98&gt;73415,MOD(B98,1)&lt;&gt;0),"Check date",IF(OR(E98&lt;=0,E98&gt;1000000000,MOD(E98,1)&lt;&gt;0),"Check quantity",IF(AND(D98&lt;&gt;"IN",D98&lt;&gt;"OUT",D98&lt;&gt;"ADJUST+",D98&lt;&gt;"ADJUST-"),"Check movement",IF(J98="","Ready",IF(D98&lt;&gt;"IN","PO link needs IN",IF(AND(C98&lt;&gt;"",C98&lt;&gt;K98),"PO / SKU mismatch",IF(SUMPRODUCT(--('PurchaseOrders'!$A$7:$A$16=J98),--('PurchaseOrders'!$N$7:$N$16="Ready"))&lt;&gt;1,"Check PO link","Ready")))))))))))</f>
      </c>
      <c r="I98" s="17" t="str">
        <f>IF(H98&lt;&gt;"Ready","",IF(OR(D98="IN",D98="ADJUST+"),E98,-E98))</f>
      </c>
      <c r="J98" s="65"/>
      <c r="K98" t="str">
        <f>IF(COUNTA(A98:G98,J98)=0,"",IF(J98="",C98,IFERROR(INDEX('PurchaseOrders'!$C$7:$C$16,SUMPRODUCT(--('PurchaseOrders'!$A$7:$A$16=J98),ROW('PurchaseOrders'!$A$7:$A$16))-6),"")))</f>
      </c>
      <c r="L98" t="n">
        <f>L97+IF(AND(K98=SKUHistory!$C$4,H98="Ready",SKUHistory!$C$4&lt;&gt;"",ISNUMBER(SKUHistory!$F$4),ISNUMBER(SKUHistory!$I$4),B98&gt;=SKUHistory!$F$4,B98&lt;=SKUHistory!$I$4),1,0)</f>
        <v>2</v>
      </c>
      <c r="M98" t="str">
        <f>IF(AND(K98=SKUHistory!$C$4,H98="Ready",SKUHistory!$C$4&lt;&gt;"",ISNUMBER(SKUHistory!$F$4),ISNUMBER(SKUHistory!$I$4),B98&gt;=SKUHistory!$F$4,B98&lt;=SKUHistory!$I$4),L98,"")</f>
      </c>
    </row>
    <row r="99" ht="23" customHeight="1">
      <c r="A99" s="65"/>
      <c r="B99" s="63"/>
      <c r="C99" s="65"/>
      <c r="D99" s="65"/>
      <c r="E99" s="66"/>
      <c r="F99" s="65"/>
      <c r="G99" s="65"/>
      <c r="H99" s="6" t="str">
        <f>IF(COUNTA(A99:G99,J99)=0,"",IF(OR(A99="",B99="",K99="",D99="",COUNT(E99)&lt;&gt;1),"Missing inputs",IF(SUMPRODUCT(--('Transactions'!$A$7:$A$106=A99))&lt;&gt;1,"Duplicate ID",IF(SUMPRODUCT(--('Products'!$A$7:$A$16=K99),--('Products'!$P$7:$P$16="Ready"))&lt;&gt;1,"Check SKU",IF(OR(NOT(ISNUMBER(B99)),B99&lt;1,B99&gt;73415,MOD(B99,1)&lt;&gt;0),"Check date",IF(OR(E99&lt;=0,E99&gt;1000000000,MOD(E99,1)&lt;&gt;0),"Check quantity",IF(AND(D99&lt;&gt;"IN",D99&lt;&gt;"OUT",D99&lt;&gt;"ADJUST+",D99&lt;&gt;"ADJUST-"),"Check movement",IF(J99="","Ready",IF(D99&lt;&gt;"IN","PO link needs IN",IF(AND(C99&lt;&gt;"",C99&lt;&gt;K99),"PO / SKU mismatch",IF(SUMPRODUCT(--('PurchaseOrders'!$A$7:$A$16=J99),--('PurchaseOrders'!$N$7:$N$16="Ready"))&lt;&gt;1,"Check PO link","Ready")))))))))))</f>
      </c>
      <c r="I99" s="17" t="str">
        <f>IF(H99&lt;&gt;"Ready","",IF(OR(D99="IN",D99="ADJUST+"),E99,-E99))</f>
      </c>
      <c r="J99" s="65"/>
      <c r="K99" t="str">
        <f>IF(COUNTA(A99:G99,J99)=0,"",IF(J99="",C99,IFERROR(INDEX('PurchaseOrders'!$C$7:$C$16,SUMPRODUCT(--('PurchaseOrders'!$A$7:$A$16=J99),ROW('PurchaseOrders'!$A$7:$A$16))-6),"")))</f>
      </c>
      <c r="L99" t="n">
        <f>L98+IF(AND(K99=SKUHistory!$C$4,H99="Ready",SKUHistory!$C$4&lt;&gt;"",ISNUMBER(SKUHistory!$F$4),ISNUMBER(SKUHistory!$I$4),B99&gt;=SKUHistory!$F$4,B99&lt;=SKUHistory!$I$4),1,0)</f>
        <v>2</v>
      </c>
      <c r="M99" t="str">
        <f>IF(AND(K99=SKUHistory!$C$4,H99="Ready",SKUHistory!$C$4&lt;&gt;"",ISNUMBER(SKUHistory!$F$4),ISNUMBER(SKUHistory!$I$4),B99&gt;=SKUHistory!$F$4,B99&lt;=SKUHistory!$I$4),L99,"")</f>
      </c>
    </row>
    <row r="100" ht="23" customHeight="1">
      <c r="A100" s="65"/>
      <c r="B100" s="63"/>
      <c r="C100" s="65"/>
      <c r="D100" s="65"/>
      <c r="E100" s="66"/>
      <c r="F100" s="65"/>
      <c r="G100" s="65"/>
      <c r="H100" s="6" t="str">
        <f>IF(COUNTA(A100:G100,J100)=0,"",IF(OR(A100="",B100="",K100="",D100="",COUNT(E100)&lt;&gt;1),"Missing inputs",IF(SUMPRODUCT(--('Transactions'!$A$7:$A$106=A100))&lt;&gt;1,"Duplicate ID",IF(SUMPRODUCT(--('Products'!$A$7:$A$16=K100),--('Products'!$P$7:$P$16="Ready"))&lt;&gt;1,"Check SKU",IF(OR(NOT(ISNUMBER(B100)),B100&lt;1,B100&gt;73415,MOD(B100,1)&lt;&gt;0),"Check date",IF(OR(E100&lt;=0,E100&gt;1000000000,MOD(E100,1)&lt;&gt;0),"Check quantity",IF(AND(D100&lt;&gt;"IN",D100&lt;&gt;"OUT",D100&lt;&gt;"ADJUST+",D100&lt;&gt;"ADJUST-"),"Check movement",IF(J100="","Ready",IF(D100&lt;&gt;"IN","PO link needs IN",IF(AND(C100&lt;&gt;"",C100&lt;&gt;K100),"PO / SKU mismatch",IF(SUMPRODUCT(--('PurchaseOrders'!$A$7:$A$16=J100),--('PurchaseOrders'!$N$7:$N$16="Ready"))&lt;&gt;1,"Check PO link","Ready")))))))))))</f>
      </c>
      <c r="I100" s="17" t="str">
        <f>IF(H100&lt;&gt;"Ready","",IF(OR(D100="IN",D100="ADJUST+"),E100,-E100))</f>
      </c>
      <c r="J100" s="65"/>
      <c r="K100" t="str">
        <f>IF(COUNTA(A100:G100,J100)=0,"",IF(J100="",C100,IFERROR(INDEX('PurchaseOrders'!$C$7:$C$16,SUMPRODUCT(--('PurchaseOrders'!$A$7:$A$16=J100),ROW('PurchaseOrders'!$A$7:$A$16))-6),"")))</f>
      </c>
      <c r="L100" t="n">
        <f>L99+IF(AND(K100=SKUHistory!$C$4,H100="Ready",SKUHistory!$C$4&lt;&gt;"",ISNUMBER(SKUHistory!$F$4),ISNUMBER(SKUHistory!$I$4),B100&gt;=SKUHistory!$F$4,B100&lt;=SKUHistory!$I$4),1,0)</f>
        <v>2</v>
      </c>
      <c r="M100" t="str">
        <f>IF(AND(K100=SKUHistory!$C$4,H100="Ready",SKUHistory!$C$4&lt;&gt;"",ISNUMBER(SKUHistory!$F$4),ISNUMBER(SKUHistory!$I$4),B100&gt;=SKUHistory!$F$4,B100&lt;=SKUHistory!$I$4),L100,"")</f>
      </c>
    </row>
    <row r="101" ht="23" customHeight="1">
      <c r="A101" s="65"/>
      <c r="B101" s="63"/>
      <c r="C101" s="65"/>
      <c r="D101" s="65"/>
      <c r="E101" s="66"/>
      <c r="F101" s="65"/>
      <c r="G101" s="65"/>
      <c r="H101" s="6" t="str">
        <f>IF(COUNTA(A101:G101,J101)=0,"",IF(OR(A101="",B101="",K101="",D101="",COUNT(E101)&lt;&gt;1),"Missing inputs",IF(SUMPRODUCT(--('Transactions'!$A$7:$A$106=A101))&lt;&gt;1,"Duplicate ID",IF(SUMPRODUCT(--('Products'!$A$7:$A$16=K101),--('Products'!$P$7:$P$16="Ready"))&lt;&gt;1,"Check SKU",IF(OR(NOT(ISNUMBER(B101)),B101&lt;1,B101&gt;73415,MOD(B101,1)&lt;&gt;0),"Check date",IF(OR(E101&lt;=0,E101&gt;1000000000,MOD(E101,1)&lt;&gt;0),"Check quantity",IF(AND(D101&lt;&gt;"IN",D101&lt;&gt;"OUT",D101&lt;&gt;"ADJUST+",D101&lt;&gt;"ADJUST-"),"Check movement",IF(J101="","Ready",IF(D101&lt;&gt;"IN","PO link needs IN",IF(AND(C101&lt;&gt;"",C101&lt;&gt;K101),"PO / SKU mismatch",IF(SUMPRODUCT(--('PurchaseOrders'!$A$7:$A$16=J101),--('PurchaseOrders'!$N$7:$N$16="Ready"))&lt;&gt;1,"Check PO link","Ready")))))))))))</f>
      </c>
      <c r="I101" s="17" t="str">
        <f>IF(H101&lt;&gt;"Ready","",IF(OR(D101="IN",D101="ADJUST+"),E101,-E101))</f>
      </c>
      <c r="J101" s="65"/>
      <c r="K101" t="str">
        <f>IF(COUNTA(A101:G101,J101)=0,"",IF(J101="",C101,IFERROR(INDEX('PurchaseOrders'!$C$7:$C$16,SUMPRODUCT(--('PurchaseOrders'!$A$7:$A$16=J101),ROW('PurchaseOrders'!$A$7:$A$16))-6),"")))</f>
      </c>
      <c r="L101" t="n">
        <f>L100+IF(AND(K101=SKUHistory!$C$4,H101="Ready",SKUHistory!$C$4&lt;&gt;"",ISNUMBER(SKUHistory!$F$4),ISNUMBER(SKUHistory!$I$4),B101&gt;=SKUHistory!$F$4,B101&lt;=SKUHistory!$I$4),1,0)</f>
        <v>2</v>
      </c>
      <c r="M101" t="str">
        <f>IF(AND(K101=SKUHistory!$C$4,H101="Ready",SKUHistory!$C$4&lt;&gt;"",ISNUMBER(SKUHistory!$F$4),ISNUMBER(SKUHistory!$I$4),B101&gt;=SKUHistory!$F$4,B101&lt;=SKUHistory!$I$4),L101,"")</f>
      </c>
    </row>
    <row r="102" ht="23" customHeight="1">
      <c r="A102" s="65"/>
      <c r="B102" s="63"/>
      <c r="C102" s="65"/>
      <c r="D102" s="65"/>
      <c r="E102" s="66"/>
      <c r="F102" s="65"/>
      <c r="G102" s="65"/>
      <c r="H102" s="6" t="str">
        <f>IF(COUNTA(A102:G102,J102)=0,"",IF(OR(A102="",B102="",K102="",D102="",COUNT(E102)&lt;&gt;1),"Missing inputs",IF(SUMPRODUCT(--('Transactions'!$A$7:$A$106=A102))&lt;&gt;1,"Duplicate ID",IF(SUMPRODUCT(--('Products'!$A$7:$A$16=K102),--('Products'!$P$7:$P$16="Ready"))&lt;&gt;1,"Check SKU",IF(OR(NOT(ISNUMBER(B102)),B102&lt;1,B102&gt;73415,MOD(B102,1)&lt;&gt;0),"Check date",IF(OR(E102&lt;=0,E102&gt;1000000000,MOD(E102,1)&lt;&gt;0),"Check quantity",IF(AND(D102&lt;&gt;"IN",D102&lt;&gt;"OUT",D102&lt;&gt;"ADJUST+",D102&lt;&gt;"ADJUST-"),"Check movement",IF(J102="","Ready",IF(D102&lt;&gt;"IN","PO link needs IN",IF(AND(C102&lt;&gt;"",C102&lt;&gt;K102),"PO / SKU mismatch",IF(SUMPRODUCT(--('PurchaseOrders'!$A$7:$A$16=J102),--('PurchaseOrders'!$N$7:$N$16="Ready"))&lt;&gt;1,"Check PO link","Ready")))))))))))</f>
      </c>
      <c r="I102" s="17" t="str">
        <f>IF(H102&lt;&gt;"Ready","",IF(OR(D102="IN",D102="ADJUST+"),E102,-E102))</f>
      </c>
      <c r="J102" s="65"/>
      <c r="K102" t="str">
        <f>IF(COUNTA(A102:G102,J102)=0,"",IF(J102="",C102,IFERROR(INDEX('PurchaseOrders'!$C$7:$C$16,SUMPRODUCT(--('PurchaseOrders'!$A$7:$A$16=J102),ROW('PurchaseOrders'!$A$7:$A$16))-6),"")))</f>
      </c>
      <c r="L102" t="n">
        <f>L101+IF(AND(K102=SKUHistory!$C$4,H102="Ready",SKUHistory!$C$4&lt;&gt;"",ISNUMBER(SKUHistory!$F$4),ISNUMBER(SKUHistory!$I$4),B102&gt;=SKUHistory!$F$4,B102&lt;=SKUHistory!$I$4),1,0)</f>
        <v>2</v>
      </c>
      <c r="M102" t="str">
        <f>IF(AND(K102=SKUHistory!$C$4,H102="Ready",SKUHistory!$C$4&lt;&gt;"",ISNUMBER(SKUHistory!$F$4),ISNUMBER(SKUHistory!$I$4),B102&gt;=SKUHistory!$F$4,B102&lt;=SKUHistory!$I$4),L102,"")</f>
      </c>
    </row>
    <row r="103" ht="23" customHeight="1">
      <c r="A103" s="65"/>
      <c r="B103" s="63"/>
      <c r="C103" s="65"/>
      <c r="D103" s="65"/>
      <c r="E103" s="66"/>
      <c r="F103" s="65"/>
      <c r="G103" s="65"/>
      <c r="H103" s="6" t="str">
        <f>IF(COUNTA(A103:G103,J103)=0,"",IF(OR(A103="",B103="",K103="",D103="",COUNT(E103)&lt;&gt;1),"Missing inputs",IF(SUMPRODUCT(--('Transactions'!$A$7:$A$106=A103))&lt;&gt;1,"Duplicate ID",IF(SUMPRODUCT(--('Products'!$A$7:$A$16=K103),--('Products'!$P$7:$P$16="Ready"))&lt;&gt;1,"Check SKU",IF(OR(NOT(ISNUMBER(B103)),B103&lt;1,B103&gt;73415,MOD(B103,1)&lt;&gt;0),"Check date",IF(OR(E103&lt;=0,E103&gt;1000000000,MOD(E103,1)&lt;&gt;0),"Check quantity",IF(AND(D103&lt;&gt;"IN",D103&lt;&gt;"OUT",D103&lt;&gt;"ADJUST+",D103&lt;&gt;"ADJUST-"),"Check movement",IF(J103="","Ready",IF(D103&lt;&gt;"IN","PO link needs IN",IF(AND(C103&lt;&gt;"",C103&lt;&gt;K103),"PO / SKU mismatch",IF(SUMPRODUCT(--('PurchaseOrders'!$A$7:$A$16=J103),--('PurchaseOrders'!$N$7:$N$16="Ready"))&lt;&gt;1,"Check PO link","Ready")))))))))))</f>
      </c>
      <c r="I103" s="17" t="str">
        <f>IF(H103&lt;&gt;"Ready","",IF(OR(D103="IN",D103="ADJUST+"),E103,-E103))</f>
      </c>
      <c r="J103" s="65"/>
      <c r="K103" t="str">
        <f>IF(COUNTA(A103:G103,J103)=0,"",IF(J103="",C103,IFERROR(INDEX('PurchaseOrders'!$C$7:$C$16,SUMPRODUCT(--('PurchaseOrders'!$A$7:$A$16=J103),ROW('PurchaseOrders'!$A$7:$A$16))-6),"")))</f>
      </c>
      <c r="L103" t="n">
        <f>L102+IF(AND(K103=SKUHistory!$C$4,H103="Ready",SKUHistory!$C$4&lt;&gt;"",ISNUMBER(SKUHistory!$F$4),ISNUMBER(SKUHistory!$I$4),B103&gt;=SKUHistory!$F$4,B103&lt;=SKUHistory!$I$4),1,0)</f>
        <v>2</v>
      </c>
      <c r="M103" t="str">
        <f>IF(AND(K103=SKUHistory!$C$4,H103="Ready",SKUHistory!$C$4&lt;&gt;"",ISNUMBER(SKUHistory!$F$4),ISNUMBER(SKUHistory!$I$4),B103&gt;=SKUHistory!$F$4,B103&lt;=SKUHistory!$I$4),L103,"")</f>
      </c>
    </row>
    <row r="104" ht="23" customHeight="1">
      <c r="A104" s="65"/>
      <c r="B104" s="63"/>
      <c r="C104" s="65"/>
      <c r="D104" s="65"/>
      <c r="E104" s="66"/>
      <c r="F104" s="65"/>
      <c r="G104" s="65"/>
      <c r="H104" s="6" t="str">
        <f>IF(COUNTA(A104:G104,J104)=0,"",IF(OR(A104="",B104="",K104="",D104="",COUNT(E104)&lt;&gt;1),"Missing inputs",IF(SUMPRODUCT(--('Transactions'!$A$7:$A$106=A104))&lt;&gt;1,"Duplicate ID",IF(SUMPRODUCT(--('Products'!$A$7:$A$16=K104),--('Products'!$P$7:$P$16="Ready"))&lt;&gt;1,"Check SKU",IF(OR(NOT(ISNUMBER(B104)),B104&lt;1,B104&gt;73415,MOD(B104,1)&lt;&gt;0),"Check date",IF(OR(E104&lt;=0,E104&gt;1000000000,MOD(E104,1)&lt;&gt;0),"Check quantity",IF(AND(D104&lt;&gt;"IN",D104&lt;&gt;"OUT",D104&lt;&gt;"ADJUST+",D104&lt;&gt;"ADJUST-"),"Check movement",IF(J104="","Ready",IF(D104&lt;&gt;"IN","PO link needs IN",IF(AND(C104&lt;&gt;"",C104&lt;&gt;K104),"PO / SKU mismatch",IF(SUMPRODUCT(--('PurchaseOrders'!$A$7:$A$16=J104),--('PurchaseOrders'!$N$7:$N$16="Ready"))&lt;&gt;1,"Check PO link","Ready")))))))))))</f>
      </c>
      <c r="I104" s="17" t="str">
        <f>IF(H104&lt;&gt;"Ready","",IF(OR(D104="IN",D104="ADJUST+"),E104,-E104))</f>
      </c>
      <c r="J104" s="65"/>
      <c r="K104" t="str">
        <f>IF(COUNTA(A104:G104,J104)=0,"",IF(J104="",C104,IFERROR(INDEX('PurchaseOrders'!$C$7:$C$16,SUMPRODUCT(--('PurchaseOrders'!$A$7:$A$16=J104),ROW('PurchaseOrders'!$A$7:$A$16))-6),"")))</f>
      </c>
      <c r="L104" t="n">
        <f>L103+IF(AND(K104=SKUHistory!$C$4,H104="Ready",SKUHistory!$C$4&lt;&gt;"",ISNUMBER(SKUHistory!$F$4),ISNUMBER(SKUHistory!$I$4),B104&gt;=SKUHistory!$F$4,B104&lt;=SKUHistory!$I$4),1,0)</f>
        <v>2</v>
      </c>
      <c r="M104" t="str">
        <f>IF(AND(K104=SKUHistory!$C$4,H104="Ready",SKUHistory!$C$4&lt;&gt;"",ISNUMBER(SKUHistory!$F$4),ISNUMBER(SKUHistory!$I$4),B104&gt;=SKUHistory!$F$4,B104&lt;=SKUHistory!$I$4),L104,"")</f>
      </c>
    </row>
    <row r="105" ht="23" customHeight="1">
      <c r="A105" s="65"/>
      <c r="B105" s="63"/>
      <c r="C105" s="65"/>
      <c r="D105" s="65"/>
      <c r="E105" s="66"/>
      <c r="F105" s="65"/>
      <c r="G105" s="65"/>
      <c r="H105" s="6" t="str">
        <f>IF(COUNTA(A105:G105,J105)=0,"",IF(OR(A105="",B105="",K105="",D105="",COUNT(E105)&lt;&gt;1),"Missing inputs",IF(SUMPRODUCT(--('Transactions'!$A$7:$A$106=A105))&lt;&gt;1,"Duplicate ID",IF(SUMPRODUCT(--('Products'!$A$7:$A$16=K105),--('Products'!$P$7:$P$16="Ready"))&lt;&gt;1,"Check SKU",IF(OR(NOT(ISNUMBER(B105)),B105&lt;1,B105&gt;73415,MOD(B105,1)&lt;&gt;0),"Check date",IF(OR(E105&lt;=0,E105&gt;1000000000,MOD(E105,1)&lt;&gt;0),"Check quantity",IF(AND(D105&lt;&gt;"IN",D105&lt;&gt;"OUT",D105&lt;&gt;"ADJUST+",D105&lt;&gt;"ADJUST-"),"Check movement",IF(J105="","Ready",IF(D105&lt;&gt;"IN","PO link needs IN",IF(AND(C105&lt;&gt;"",C105&lt;&gt;K105),"PO / SKU mismatch",IF(SUMPRODUCT(--('PurchaseOrders'!$A$7:$A$16=J105),--('PurchaseOrders'!$N$7:$N$16="Ready"))&lt;&gt;1,"Check PO link","Ready")))))))))))</f>
      </c>
      <c r="I105" s="17" t="str">
        <f>IF(H105&lt;&gt;"Ready","",IF(OR(D105="IN",D105="ADJUST+"),E105,-E105))</f>
      </c>
      <c r="J105" s="65"/>
      <c r="K105" t="str">
        <f>IF(COUNTA(A105:G105,J105)=0,"",IF(J105="",C105,IFERROR(INDEX('PurchaseOrders'!$C$7:$C$16,SUMPRODUCT(--('PurchaseOrders'!$A$7:$A$16=J105),ROW('PurchaseOrders'!$A$7:$A$16))-6),"")))</f>
      </c>
      <c r="L105" t="n">
        <f>L104+IF(AND(K105=SKUHistory!$C$4,H105="Ready",SKUHistory!$C$4&lt;&gt;"",ISNUMBER(SKUHistory!$F$4),ISNUMBER(SKUHistory!$I$4),B105&gt;=SKUHistory!$F$4,B105&lt;=SKUHistory!$I$4),1,0)</f>
        <v>2</v>
      </c>
      <c r="M105" t="str">
        <f>IF(AND(K105=SKUHistory!$C$4,H105="Ready",SKUHistory!$C$4&lt;&gt;"",ISNUMBER(SKUHistory!$F$4),ISNUMBER(SKUHistory!$I$4),B105&gt;=SKUHistory!$F$4,B105&lt;=SKUHistory!$I$4),L105,"")</f>
      </c>
    </row>
    <row r="106" ht="23" customHeight="1">
      <c r="A106" s="65"/>
      <c r="B106" s="63"/>
      <c r="C106" s="65"/>
      <c r="D106" s="65"/>
      <c r="E106" s="66"/>
      <c r="F106" s="65"/>
      <c r="G106" s="65"/>
      <c r="H106" s="6" t="str">
        <f>IF(COUNTA(A106:G106,J106)=0,"",IF(OR(A106="",B106="",K106="",D106="",COUNT(E106)&lt;&gt;1),"Missing inputs",IF(SUMPRODUCT(--('Transactions'!$A$7:$A$106=A106))&lt;&gt;1,"Duplicate ID",IF(SUMPRODUCT(--('Products'!$A$7:$A$16=K106),--('Products'!$P$7:$P$16="Ready"))&lt;&gt;1,"Check SKU",IF(OR(NOT(ISNUMBER(B106)),B106&lt;1,B106&gt;73415,MOD(B106,1)&lt;&gt;0),"Check date",IF(OR(E106&lt;=0,E106&gt;1000000000,MOD(E106,1)&lt;&gt;0),"Check quantity",IF(AND(D106&lt;&gt;"IN",D106&lt;&gt;"OUT",D106&lt;&gt;"ADJUST+",D106&lt;&gt;"ADJUST-"),"Check movement",IF(J106="","Ready",IF(D106&lt;&gt;"IN","PO link needs IN",IF(AND(C106&lt;&gt;"",C106&lt;&gt;K106),"PO / SKU mismatch",IF(SUMPRODUCT(--('PurchaseOrders'!$A$7:$A$16=J106),--('PurchaseOrders'!$N$7:$N$16="Ready"))&lt;&gt;1,"Check PO link","Ready")))))))))))</f>
      </c>
      <c r="I106" s="17" t="str">
        <f>IF(H106&lt;&gt;"Ready","",IF(OR(D106="IN",D106="ADJUST+"),E106,-E106))</f>
      </c>
      <c r="J106" s="65"/>
      <c r="K106" t="str">
        <f>IF(COUNTA(A106:G106,J106)=0,"",IF(J106="",C106,IFERROR(INDEX('PurchaseOrders'!$C$7:$C$16,SUMPRODUCT(--('PurchaseOrders'!$A$7:$A$16=J106),ROW('PurchaseOrders'!$A$7:$A$16))-6),"")))</f>
      </c>
      <c r="L106" t="n">
        <f>L105+IF(AND(K106=SKUHistory!$C$4,H106="Ready",SKUHistory!$C$4&lt;&gt;"",ISNUMBER(SKUHistory!$F$4),ISNUMBER(SKUHistory!$I$4),B106&gt;=SKUHistory!$F$4,B106&lt;=SKUHistory!$I$4),1,0)</f>
        <v>2</v>
      </c>
      <c r="M106" t="str">
        <f>IF(AND(K106=SKUHistory!$C$4,H106="Ready",SKUHistory!$C$4&lt;&gt;"",ISNUMBER(SKUHistory!$F$4),ISNUMBER(SKUHistory!$I$4),B106&gt;=SKUHistory!$F$4,B106&lt;=SKUHistory!$I$4),L106,"")</f>
      </c>
    </row>
  </sheetData>
  <sheetProtection sheet="1" objects="1" scenarios="1" autoFilter="0" sort="1" formatColumns="0" formatRows="0" selectLockedCells="0" selectUnlockedCells="0"/>
  <mergeCells>
    <mergeCell ref="A5:J5"/>
    <mergeCell ref="A3:J3"/>
  </mergeCells>
  <conditionalFormatting sqref="A7:I106">
    <cfRule type="expression" dxfId="1" priority="1">
      <formula>AND($H7&lt;&gt;"",$H7&lt;&gt;"Ready")</formula>
    </cfRule>
  </conditionalFormatting>
  <conditionalFormatting sqref="B7:B106">
    <cfRule type="expression" dxfId="48" priority="2">
      <formula>INDIRECT("Start!$F$7")="dd/mm/yyyy"</formula>
    </cfRule>
    <cfRule type="expression" dxfId="49" priority="3">
      <formula>INDIRECT("Start!$F$7")="mm/dd/yyyy"</formula>
    </cfRule>
    <cfRule type="expression" dxfId="50" priority="4">
      <formula>INDIRECT("Start!$F$7")="yyyy-mm-dd"</formula>
    </cfRule>
    <cfRule type="expression" dxfId="51" priority="5">
      <formula>INDIRECT("Start!$F$7")="dd.mm.yyyy"</formula>
    </cfRule>
    <cfRule type="expression" dxfId="52" priority="6">
      <formula>INDIRECT("Start!$F$7")="yyyy/mm/dd"</formula>
    </cfRule>
  </conditionalFormatting>
  <dataValidations count="4">
    <dataValidation type="list" sqref="D7:D106">
      <formula1>"IN,OUT,ADJUST+,ADJUST-"</formula1>
    </dataValidation>
    <dataValidation type="list" sqref="C7:C106">
      <formula1>INDIRECT("Products!$A$7:$A$16")</formula1>
    </dataValidation>
    <dataValidation type="whole" operator="between" sqref="E7:E106">
      <formula1>1</formula1>
      <formula2>1000000000</formula2>
    </dataValidation>
    <dataValidation type="list" sqref="J7:J106">
      <formula1>INDIRECT("PurchaseOrders!$A$7:$A$16")</formula1>
    </dataValidation>
  </dataValidations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3d08693f5ff3492a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6" topLeftCell="D7" activePane="bottomRight" state="frozen"/>
    </sheetView>
  </sheetViews>
  <sheetFormatPr defaultRowHeight="15"/>
  <cols>
    <col min="1" max="1" width="22" hidden="0" customWidth="1"/>
    <col min="2" max="2" width="20" hidden="0" customWidth="1"/>
    <col min="3" max="3" width="20" hidden="0" customWidth="1"/>
    <col min="4" max="4" width="25" hidden="0" customWidth="1"/>
    <col min="5" max="5" width="17" hidden="0" customWidth="1"/>
    <col min="6" max="6" width="18" hidden="0" customWidth="1"/>
    <col min="7" max="7" width="22" hidden="0" customWidth="1"/>
    <col min="8" max="8" width="21" hidden="0" customWidth="1"/>
    <col min="9" max="9" width="31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t="str">
        <v>Reorder</v>
      </c>
    </row>
    <row r="2" ht="24" customHeight="1">
      <c r="A2" s="3" t="str">
        <v>Receiving queue</v>
      </c>
      <c r="B2" s="2"/>
      <c r="C2" s="2"/>
      <c r="D2" s="2"/>
      <c r="E2" s="2"/>
      <c r="F2" s="2"/>
      <c r="G2" s="2"/>
      <c r="H2" s="2"/>
      <c r="I2" s="2"/>
    </row>
    <row r="3" ht="38" customHeight="1">
      <c r="A3" s="40" t="str">
        <v>Filter Outstanding above zero. Copy a PO line ID, open Transactions, enter ID/date/IN/quantity and paste the PO line into J. SKU is filled in K.</v>
      </c>
      <c r="B3" s="40"/>
      <c r="C3" s="40"/>
      <c r="D3" s="40"/>
      <c r="E3" s="40"/>
      <c r="F3" s="40"/>
      <c r="G3" s="40"/>
      <c r="H3" s="40"/>
      <c r="I3" s="40"/>
    </row>
    <row r="4" ht="24" customHeight="1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2"/>
      <c r="C5" s="2"/>
      <c r="D5" s="2"/>
      <c r="E5" s="2"/>
      <c r="F5" s="2"/>
      <c r="G5" s="2"/>
      <c r="H5" s="2"/>
      <c r="I5" s="2"/>
    </row>
    <row r="6" ht="42" customHeight="1">
      <c r="A6" s="10" t="str">
        <v>PO line ID</v>
      </c>
      <c r="B6" s="10" t="str">
        <v>PO number</v>
      </c>
      <c r="C6" s="10" t="str">
        <v>SKU</v>
      </c>
      <c r="D6" s="10" t="str">
        <v>Supplier</v>
      </c>
      <c r="E6" s="10" t="str">
        <v>Due date</v>
      </c>
      <c r="F6" s="10" t="str">
        <v>Outstanding</v>
      </c>
      <c r="G6" s="10" t="str">
        <v>Delivery state</v>
      </c>
      <c r="H6" s="10" t="str">
        <v>Before arrival qty</v>
      </c>
      <c r="I6" s="10" t="str">
        <v>Timing action</v>
      </c>
    </row>
    <row r="7" ht="24" customHeight="1">
      <c r="A7" s="2" t="str">
        <f>IF('PurchaseOrders'!A7="","",'PurchaseOrders'!A7)</f>
        <v>POL-001</v>
      </c>
      <c r="B7" s="2" t="str">
        <f>IF('PurchaseOrders'!A7="","",'PurchaseOrders'!B7)</f>
        <v>PO-EXAMPLE-001</v>
      </c>
      <c r="C7" s="2" t="str">
        <f>IF('PurchaseOrders'!A7="","",'PurchaseOrders'!C7)</f>
        <v>SKU000123</v>
      </c>
      <c r="D7" s="2" t="str">
        <f>IF('PurchaseOrders'!A7="","",'PurchaseOrders'!D7)</f>
        <v>Example Supplier</v>
      </c>
      <c r="E7" s="26" t="n">
        <f>IF('PurchaseOrders'!A7="","",'PurchaseOrders'!F7)</f>
        <v>46316</v>
      </c>
      <c r="F7" s="2" t="n">
        <f>IF('PurchaseOrders'!A7="","",'PurchaseOrders'!K7)</f>
        <v>990</v>
      </c>
      <c r="G7" s="2" t="str">
        <f>IF('PurchaseOrders'!A7="","",'PurchaseOrders'!M7)</f>
        <v>Expected</v>
      </c>
      <c r="H7" s="2" t="n">
        <f>IF(OR(A7="",F7&lt;=0,E7&lt;Start!$F$5,'PurchaseOrders'!N7&lt;&gt;"Ready"),"",IFERROR(INDEX('Inventory'!$I$7:$I$16,SUMPRODUCT(--('Products'!$A$7:$A$16=C7),ROW('Products'!$A$7:$A$16))-6)-INDEX('Products'!$S$7:$S$16,SUMPRODUCT(--('Products'!$A$7:$A$16=C7),ROW('Products'!$A$7:$A$16))-6)*(E7-Start!$F$5)+SUMPRODUCT(--('PurchaseOrders'!$C$7:$C$16=C7),--('PurchaseOrders'!$N$7:$N$16="Ready"),--('PurchaseOrders'!$F$7:$F$16&gt;=Start!$F$5),--('PurchaseOrders'!$F$7:$F$16&lt;E7),'PurchaseOrders'!$K$7:$K$16),""))</f>
        <v>-17</v>
      </c>
      <c r="I7" s="2" t="str">
        <f>IF(A7="","",IF(F7&lt;=0,"Closed",IF(G7="Overdue","Confirm new due date",IF(NOT(ISNUMBER(H7)),"Check source inputs",IF(H7&lt;0,"Stockout before arrival","Expected")))))</f>
        <v>Stockout before arrival</v>
      </c>
    </row>
    <row r="8" ht="24" customHeight="1">
      <c r="A8" s="2" t="str">
        <f>IF('PurchaseOrders'!A8="","",'PurchaseOrders'!A8)</f>
      </c>
      <c r="B8" s="2" t="str">
        <f>IF('PurchaseOrders'!A8="","",'PurchaseOrders'!B8)</f>
      </c>
      <c r="C8" s="2" t="str">
        <f>IF('PurchaseOrders'!A8="","",'PurchaseOrders'!C8)</f>
      </c>
      <c r="D8" s="2" t="str">
        <f>IF('PurchaseOrders'!A8="","",'PurchaseOrders'!D8)</f>
      </c>
      <c r="E8" s="26" t="str">
        <f>IF('PurchaseOrders'!A8="","",'PurchaseOrders'!F8)</f>
      </c>
      <c r="F8" s="2" t="str">
        <f>IF('PurchaseOrders'!A8="","",'PurchaseOrders'!K8)</f>
      </c>
      <c r="G8" s="2" t="str">
        <f>IF('PurchaseOrders'!A8="","",'PurchaseOrders'!M8)</f>
      </c>
      <c r="H8" s="2" t="str">
        <f>IF(OR(A8="",F8&lt;=0,E8&lt;Start!$F$5,'PurchaseOrders'!N8&lt;&gt;"Ready"),"",IFERROR(INDEX('Inventory'!$I$7:$I$16,SUMPRODUCT(--('Products'!$A$7:$A$16=C8),ROW('Products'!$A$7:$A$16))-6)-INDEX('Products'!$S$7:$S$16,SUMPRODUCT(--('Products'!$A$7:$A$16=C8),ROW('Products'!$A$7:$A$16))-6)*(E8-Start!$F$5)+SUMPRODUCT(--('PurchaseOrders'!$C$7:$C$16=C8),--('PurchaseOrders'!$N$7:$N$16="Ready"),--('PurchaseOrders'!$F$7:$F$16&gt;=Start!$F$5),--('PurchaseOrders'!$F$7:$F$16&lt;E8),'PurchaseOrders'!$K$7:$K$16),""))</f>
      </c>
      <c r="I8" s="2" t="str">
        <f>IF(A8="","",IF(F8&lt;=0,"Closed",IF(G8="Overdue","Confirm new due date",IF(NOT(ISNUMBER(H8)),"Check source inputs",IF(H8&lt;0,"Stockout before arrival","Expected")))))</f>
      </c>
    </row>
    <row r="9" ht="24" customHeight="1">
      <c r="A9" s="2" t="str">
        <f>IF('PurchaseOrders'!A9="","",'PurchaseOrders'!A9)</f>
      </c>
      <c r="B9" s="2" t="str">
        <f>IF('PurchaseOrders'!A9="","",'PurchaseOrders'!B9)</f>
      </c>
      <c r="C9" s="2" t="str">
        <f>IF('PurchaseOrders'!A9="","",'PurchaseOrders'!C9)</f>
      </c>
      <c r="D9" s="2" t="str">
        <f>IF('PurchaseOrders'!A9="","",'PurchaseOrders'!D9)</f>
      </c>
      <c r="E9" s="26" t="str">
        <f>IF('PurchaseOrders'!A9="","",'PurchaseOrders'!F9)</f>
      </c>
      <c r="F9" s="2" t="str">
        <f>IF('PurchaseOrders'!A9="","",'PurchaseOrders'!K9)</f>
      </c>
      <c r="G9" s="2" t="str">
        <f>IF('PurchaseOrders'!A9="","",'PurchaseOrders'!M9)</f>
      </c>
      <c r="H9" s="2" t="str">
        <f>IF(OR(A9="",F9&lt;=0,E9&lt;Start!$F$5,'PurchaseOrders'!N9&lt;&gt;"Ready"),"",IFERROR(INDEX('Inventory'!$I$7:$I$16,SUMPRODUCT(--('Products'!$A$7:$A$16=C9),ROW('Products'!$A$7:$A$16))-6)-INDEX('Products'!$S$7:$S$16,SUMPRODUCT(--('Products'!$A$7:$A$16=C9),ROW('Products'!$A$7:$A$16))-6)*(E9-Start!$F$5)+SUMPRODUCT(--('PurchaseOrders'!$C$7:$C$16=C9),--('PurchaseOrders'!$N$7:$N$16="Ready"),--('PurchaseOrders'!$F$7:$F$16&gt;=Start!$F$5),--('PurchaseOrders'!$F$7:$F$16&lt;E9),'PurchaseOrders'!$K$7:$K$16),""))</f>
      </c>
      <c r="I9" s="2" t="str">
        <f>IF(A9="","",IF(F9&lt;=0,"Closed",IF(G9="Overdue","Confirm new due date",IF(NOT(ISNUMBER(H9)),"Check source inputs",IF(H9&lt;0,"Stockout before arrival","Expected")))))</f>
      </c>
    </row>
    <row r="10" ht="24" customHeight="1">
      <c r="A10" s="2" t="str">
        <f>IF('PurchaseOrders'!A10="","",'PurchaseOrders'!A10)</f>
      </c>
      <c r="B10" s="2" t="str">
        <f>IF('PurchaseOrders'!A10="","",'PurchaseOrders'!B10)</f>
      </c>
      <c r="C10" s="2" t="str">
        <f>IF('PurchaseOrders'!A10="","",'PurchaseOrders'!C10)</f>
      </c>
      <c r="D10" s="2" t="str">
        <f>IF('PurchaseOrders'!A10="","",'PurchaseOrders'!D10)</f>
      </c>
      <c r="E10" s="26" t="str">
        <f>IF('PurchaseOrders'!A10="","",'PurchaseOrders'!F10)</f>
      </c>
      <c r="F10" s="2" t="str">
        <f>IF('PurchaseOrders'!A10="","",'PurchaseOrders'!K10)</f>
      </c>
      <c r="G10" s="2" t="str">
        <f>IF('PurchaseOrders'!A10="","",'PurchaseOrders'!M10)</f>
      </c>
      <c r="H10" s="2" t="str">
        <f>IF(OR(A10="",F10&lt;=0,E10&lt;Start!$F$5,'PurchaseOrders'!N10&lt;&gt;"Ready"),"",IFERROR(INDEX('Inventory'!$I$7:$I$16,SUMPRODUCT(--('Products'!$A$7:$A$16=C10),ROW('Products'!$A$7:$A$16))-6)-INDEX('Products'!$S$7:$S$16,SUMPRODUCT(--('Products'!$A$7:$A$16=C10),ROW('Products'!$A$7:$A$16))-6)*(E10-Start!$F$5)+SUMPRODUCT(--('PurchaseOrders'!$C$7:$C$16=C10),--('PurchaseOrders'!$N$7:$N$16="Ready"),--('PurchaseOrders'!$F$7:$F$16&gt;=Start!$F$5),--('PurchaseOrders'!$F$7:$F$16&lt;E10),'PurchaseOrders'!$K$7:$K$16),""))</f>
      </c>
      <c r="I10" s="2" t="str">
        <f>IF(A10="","",IF(F10&lt;=0,"Closed",IF(G10="Overdue","Confirm new due date",IF(NOT(ISNUMBER(H10)),"Check source inputs",IF(H10&lt;0,"Stockout before arrival","Expected")))))</f>
      </c>
    </row>
    <row r="11" ht="24" customHeight="1">
      <c r="A11" s="2" t="str">
        <f>IF('PurchaseOrders'!A11="","",'PurchaseOrders'!A11)</f>
      </c>
      <c r="B11" s="2" t="str">
        <f>IF('PurchaseOrders'!A11="","",'PurchaseOrders'!B11)</f>
      </c>
      <c r="C11" s="2" t="str">
        <f>IF('PurchaseOrders'!A11="","",'PurchaseOrders'!C11)</f>
      </c>
      <c r="D11" s="2" t="str">
        <f>IF('PurchaseOrders'!A11="","",'PurchaseOrders'!D11)</f>
      </c>
      <c r="E11" s="26" t="str">
        <f>IF('PurchaseOrders'!A11="","",'PurchaseOrders'!F11)</f>
      </c>
      <c r="F11" s="2" t="str">
        <f>IF('PurchaseOrders'!A11="","",'PurchaseOrders'!K11)</f>
      </c>
      <c r="G11" s="2" t="str">
        <f>IF('PurchaseOrders'!A11="","",'PurchaseOrders'!M11)</f>
      </c>
      <c r="H11" s="2" t="str">
        <f>IF(OR(A11="",F11&lt;=0,E11&lt;Start!$F$5,'PurchaseOrders'!N11&lt;&gt;"Ready"),"",IFERROR(INDEX('Inventory'!$I$7:$I$16,SUMPRODUCT(--('Products'!$A$7:$A$16=C11),ROW('Products'!$A$7:$A$16))-6)-INDEX('Products'!$S$7:$S$16,SUMPRODUCT(--('Products'!$A$7:$A$16=C11),ROW('Products'!$A$7:$A$16))-6)*(E11-Start!$F$5)+SUMPRODUCT(--('PurchaseOrders'!$C$7:$C$16=C11),--('PurchaseOrders'!$N$7:$N$16="Ready"),--('PurchaseOrders'!$F$7:$F$16&gt;=Start!$F$5),--('PurchaseOrders'!$F$7:$F$16&lt;E11),'PurchaseOrders'!$K$7:$K$16),""))</f>
      </c>
      <c r="I11" s="2" t="str">
        <f>IF(A11="","",IF(F11&lt;=0,"Closed",IF(G11="Overdue","Confirm new due date",IF(NOT(ISNUMBER(H11)),"Check source inputs",IF(H11&lt;0,"Stockout before arrival","Expected")))))</f>
      </c>
    </row>
    <row r="12" ht="24" customHeight="1">
      <c r="A12" s="2" t="str">
        <f>IF('PurchaseOrders'!A12="","",'PurchaseOrders'!A12)</f>
      </c>
      <c r="B12" s="2" t="str">
        <f>IF('PurchaseOrders'!A12="","",'PurchaseOrders'!B12)</f>
      </c>
      <c r="C12" s="2" t="str">
        <f>IF('PurchaseOrders'!A12="","",'PurchaseOrders'!C12)</f>
      </c>
      <c r="D12" s="2" t="str">
        <f>IF('PurchaseOrders'!A12="","",'PurchaseOrders'!D12)</f>
      </c>
      <c r="E12" s="26" t="str">
        <f>IF('PurchaseOrders'!A12="","",'PurchaseOrders'!F12)</f>
      </c>
      <c r="F12" s="2" t="str">
        <f>IF('PurchaseOrders'!A12="","",'PurchaseOrders'!K12)</f>
      </c>
      <c r="G12" s="2" t="str">
        <f>IF('PurchaseOrders'!A12="","",'PurchaseOrders'!M12)</f>
      </c>
      <c r="H12" s="2" t="str">
        <f>IF(OR(A12="",F12&lt;=0,E12&lt;Start!$F$5,'PurchaseOrders'!N12&lt;&gt;"Ready"),"",IFERROR(INDEX('Inventory'!$I$7:$I$16,SUMPRODUCT(--('Products'!$A$7:$A$16=C12),ROW('Products'!$A$7:$A$16))-6)-INDEX('Products'!$S$7:$S$16,SUMPRODUCT(--('Products'!$A$7:$A$16=C12),ROW('Products'!$A$7:$A$16))-6)*(E12-Start!$F$5)+SUMPRODUCT(--('PurchaseOrders'!$C$7:$C$16=C12),--('PurchaseOrders'!$N$7:$N$16="Ready"),--('PurchaseOrders'!$F$7:$F$16&gt;=Start!$F$5),--('PurchaseOrders'!$F$7:$F$16&lt;E12),'PurchaseOrders'!$K$7:$K$16),""))</f>
      </c>
      <c r="I12" s="2" t="str">
        <f>IF(A12="","",IF(F12&lt;=0,"Closed",IF(G12="Overdue","Confirm new due date",IF(NOT(ISNUMBER(H12)),"Check source inputs",IF(H12&lt;0,"Stockout before arrival","Expected")))))</f>
      </c>
    </row>
    <row r="13" ht="24" customHeight="1">
      <c r="A13" s="2" t="str">
        <f>IF('PurchaseOrders'!A13="","",'PurchaseOrders'!A13)</f>
      </c>
      <c r="B13" s="2" t="str">
        <f>IF('PurchaseOrders'!A13="","",'PurchaseOrders'!B13)</f>
      </c>
      <c r="C13" s="2" t="str">
        <f>IF('PurchaseOrders'!A13="","",'PurchaseOrders'!C13)</f>
      </c>
      <c r="D13" s="2" t="str">
        <f>IF('PurchaseOrders'!A13="","",'PurchaseOrders'!D13)</f>
      </c>
      <c r="E13" s="26" t="str">
        <f>IF('PurchaseOrders'!A13="","",'PurchaseOrders'!F13)</f>
      </c>
      <c r="F13" s="2" t="str">
        <f>IF('PurchaseOrders'!A13="","",'PurchaseOrders'!K13)</f>
      </c>
      <c r="G13" s="2" t="str">
        <f>IF('PurchaseOrders'!A13="","",'PurchaseOrders'!M13)</f>
      </c>
      <c r="H13" s="2" t="str">
        <f>IF(OR(A13="",F13&lt;=0,E13&lt;Start!$F$5,'PurchaseOrders'!N13&lt;&gt;"Ready"),"",IFERROR(INDEX('Inventory'!$I$7:$I$16,SUMPRODUCT(--('Products'!$A$7:$A$16=C13),ROW('Products'!$A$7:$A$16))-6)-INDEX('Products'!$S$7:$S$16,SUMPRODUCT(--('Products'!$A$7:$A$16=C13),ROW('Products'!$A$7:$A$16))-6)*(E13-Start!$F$5)+SUMPRODUCT(--('PurchaseOrders'!$C$7:$C$16=C13),--('PurchaseOrders'!$N$7:$N$16="Ready"),--('PurchaseOrders'!$F$7:$F$16&gt;=Start!$F$5),--('PurchaseOrders'!$F$7:$F$16&lt;E13),'PurchaseOrders'!$K$7:$K$16),""))</f>
      </c>
      <c r="I13" s="2" t="str">
        <f>IF(A13="","",IF(F13&lt;=0,"Closed",IF(G13="Overdue","Confirm new due date",IF(NOT(ISNUMBER(H13)),"Check source inputs",IF(H13&lt;0,"Stockout before arrival","Expected")))))</f>
      </c>
    </row>
    <row r="14" ht="24" customHeight="1">
      <c r="A14" s="2" t="str">
        <f>IF('PurchaseOrders'!A14="","",'PurchaseOrders'!A14)</f>
      </c>
      <c r="B14" s="2" t="str">
        <f>IF('PurchaseOrders'!A14="","",'PurchaseOrders'!B14)</f>
      </c>
      <c r="C14" s="2" t="str">
        <f>IF('PurchaseOrders'!A14="","",'PurchaseOrders'!C14)</f>
      </c>
      <c r="D14" s="2" t="str">
        <f>IF('PurchaseOrders'!A14="","",'PurchaseOrders'!D14)</f>
      </c>
      <c r="E14" s="26" t="str">
        <f>IF('PurchaseOrders'!A14="","",'PurchaseOrders'!F14)</f>
      </c>
      <c r="F14" s="2" t="str">
        <f>IF('PurchaseOrders'!A14="","",'PurchaseOrders'!K14)</f>
      </c>
      <c r="G14" s="2" t="str">
        <f>IF('PurchaseOrders'!A14="","",'PurchaseOrders'!M14)</f>
      </c>
      <c r="H14" s="2" t="str">
        <f>IF(OR(A14="",F14&lt;=0,E14&lt;Start!$F$5,'PurchaseOrders'!N14&lt;&gt;"Ready"),"",IFERROR(INDEX('Inventory'!$I$7:$I$16,SUMPRODUCT(--('Products'!$A$7:$A$16=C14),ROW('Products'!$A$7:$A$16))-6)-INDEX('Products'!$S$7:$S$16,SUMPRODUCT(--('Products'!$A$7:$A$16=C14),ROW('Products'!$A$7:$A$16))-6)*(E14-Start!$F$5)+SUMPRODUCT(--('PurchaseOrders'!$C$7:$C$16=C14),--('PurchaseOrders'!$N$7:$N$16="Ready"),--('PurchaseOrders'!$F$7:$F$16&gt;=Start!$F$5),--('PurchaseOrders'!$F$7:$F$16&lt;E14),'PurchaseOrders'!$K$7:$K$16),""))</f>
      </c>
      <c r="I14" s="2" t="str">
        <f>IF(A14="","",IF(F14&lt;=0,"Closed",IF(G14="Overdue","Confirm new due date",IF(NOT(ISNUMBER(H14)),"Check source inputs",IF(H14&lt;0,"Stockout before arrival","Expected")))))</f>
      </c>
    </row>
    <row r="15" ht="24" customHeight="1">
      <c r="A15" s="2" t="str">
        <f>IF('PurchaseOrders'!A15="","",'PurchaseOrders'!A15)</f>
      </c>
      <c r="B15" s="2" t="str">
        <f>IF('PurchaseOrders'!A15="","",'PurchaseOrders'!B15)</f>
      </c>
      <c r="C15" s="2" t="str">
        <f>IF('PurchaseOrders'!A15="","",'PurchaseOrders'!C15)</f>
      </c>
      <c r="D15" s="2" t="str">
        <f>IF('PurchaseOrders'!A15="","",'PurchaseOrders'!D15)</f>
      </c>
      <c r="E15" s="26" t="str">
        <f>IF('PurchaseOrders'!A15="","",'PurchaseOrders'!F15)</f>
      </c>
      <c r="F15" s="2" t="str">
        <f>IF('PurchaseOrders'!A15="","",'PurchaseOrders'!K15)</f>
      </c>
      <c r="G15" s="2" t="str">
        <f>IF('PurchaseOrders'!A15="","",'PurchaseOrders'!M15)</f>
      </c>
      <c r="H15" s="2" t="str">
        <f>IF(OR(A15="",F15&lt;=0,E15&lt;Start!$F$5,'PurchaseOrders'!N15&lt;&gt;"Ready"),"",IFERROR(INDEX('Inventory'!$I$7:$I$16,SUMPRODUCT(--('Products'!$A$7:$A$16=C15),ROW('Products'!$A$7:$A$16))-6)-INDEX('Products'!$S$7:$S$16,SUMPRODUCT(--('Products'!$A$7:$A$16=C15),ROW('Products'!$A$7:$A$16))-6)*(E15-Start!$F$5)+SUMPRODUCT(--('PurchaseOrders'!$C$7:$C$16=C15),--('PurchaseOrders'!$N$7:$N$16="Ready"),--('PurchaseOrders'!$F$7:$F$16&gt;=Start!$F$5),--('PurchaseOrders'!$F$7:$F$16&lt;E15),'PurchaseOrders'!$K$7:$K$16),""))</f>
      </c>
      <c r="I15" s="2" t="str">
        <f>IF(A15="","",IF(F15&lt;=0,"Closed",IF(G15="Overdue","Confirm new due date",IF(NOT(ISNUMBER(H15)),"Check source inputs",IF(H15&lt;0,"Stockout before arrival","Expected")))))</f>
      </c>
    </row>
    <row r="16" ht="24" customHeight="1">
      <c r="A16" s="2" t="str">
        <f>IF('PurchaseOrders'!A16="","",'PurchaseOrders'!A16)</f>
      </c>
      <c r="B16" s="2" t="str">
        <f>IF('PurchaseOrders'!A16="","",'PurchaseOrders'!B16)</f>
      </c>
      <c r="C16" s="2" t="str">
        <f>IF('PurchaseOrders'!A16="","",'PurchaseOrders'!C16)</f>
      </c>
      <c r="D16" s="2" t="str">
        <f>IF('PurchaseOrders'!A16="","",'PurchaseOrders'!D16)</f>
      </c>
      <c r="E16" s="26" t="str">
        <f>IF('PurchaseOrders'!A16="","",'PurchaseOrders'!F16)</f>
      </c>
      <c r="F16" s="2" t="str">
        <f>IF('PurchaseOrders'!A16="","",'PurchaseOrders'!K16)</f>
      </c>
      <c r="G16" s="2" t="str">
        <f>IF('PurchaseOrders'!A16="","",'PurchaseOrders'!M16)</f>
      </c>
      <c r="H16" s="2" t="str">
        <f>IF(OR(A16="",F16&lt;=0,E16&lt;Start!$F$5,'PurchaseOrders'!N16&lt;&gt;"Ready"),"",IFERROR(INDEX('Inventory'!$I$7:$I$16,SUMPRODUCT(--('Products'!$A$7:$A$16=C16),ROW('Products'!$A$7:$A$16))-6)-INDEX('Products'!$S$7:$S$16,SUMPRODUCT(--('Products'!$A$7:$A$16=C16),ROW('Products'!$A$7:$A$16))-6)*(E16-Start!$F$5)+SUMPRODUCT(--('PurchaseOrders'!$C$7:$C$16=C16),--('PurchaseOrders'!$N$7:$N$16="Ready"),--('PurchaseOrders'!$F$7:$F$16&gt;=Start!$F$5),--('PurchaseOrders'!$F$7:$F$16&lt;E16),'PurchaseOrders'!$K$7:$K$16),""))</f>
      </c>
      <c r="I16" s="2" t="str">
        <f>IF(A16="","",IF(F16&lt;=0,"Closed",IF(G16="Overdue","Confirm new due date",IF(NOT(ISNUMBER(H16)),"Check source inputs",IF(H16&lt;0,"Stockout before arrival","Expected")))))</f>
      </c>
    </row>
  </sheetData>
  <sheetProtection sheet="1" objects="1" scenarios="1" autoFilter="0" sort="1" formatColumns="0" formatRows="0" selectLockedCells="0" selectUnlockedCells="0"/>
  <mergeCells>
    <mergeCell ref="A3:I3"/>
  </mergeCells>
  <conditionalFormatting sqref="E7:E16">
    <cfRule type="expression" dxfId="100" priority="1">
      <formula>INDIRECT("Start!$F$7")="dd/mm/yyyy"</formula>
    </cfRule>
    <cfRule type="expression" dxfId="101" priority="2">
      <formula>INDIRECT("Start!$F$7")="mm/dd/yyyy"</formula>
    </cfRule>
    <cfRule type="expression" dxfId="102" priority="3">
      <formula>INDIRECT("Start!$F$7")="yyyy-mm-dd"</formula>
    </cfRule>
    <cfRule type="expression" dxfId="103" priority="4">
      <formula>INDIRECT("Start!$F$7")="dd.mm.yyyy"</formula>
    </cfRule>
    <cfRule type="expression" dxfId="104" priority="5">
      <formula>INDIRECT("Start!$F$7")="yyyy/mm/dd"</formula>
    </cfRule>
  </conditionalFormatting>
  <conditionalFormatting sqref="H7:I16">
    <cfRule type="expression" dxfId="105" priority="6">
      <formula>OR($I7="Stockout before arrival",$I7="Confirm new due date")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be6d97be90be44e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6" topLeftCell="D7" activePane="bottomRight" state="frozen"/>
    </sheetView>
  </sheetViews>
  <sheetFormatPr defaultRowHeight="15"/>
  <cols>
    <col min="1" max="1" width="22" hidden="0" customWidth="1"/>
    <col min="2" max="2" width="17" hidden="0" customWidth="1"/>
    <col min="3" max="3" width="20" hidden="0" customWidth="1"/>
    <col min="4" max="4" width="18" hidden="0" customWidth="1"/>
    <col min="5" max="5" width="15" hidden="0" customWidth="1"/>
    <col min="6" max="6" width="16" hidden="0" customWidth="1"/>
    <col min="7" max="7" width="22" hidden="0" customWidth="1"/>
    <col min="8" max="8" width="30" hidden="0" customWidth="1"/>
    <col min="9" max="9" width="22" hidden="0" customWidth="1"/>
    <col min="10" max="10" width="14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s="2" t="str">
        <v>Reorder</v>
      </c>
    </row>
    <row r="2" ht="24" customHeight="1">
      <c r="A2" s="3" t="str">
        <v>SKU movement history</v>
      </c>
      <c r="B2" s="2"/>
      <c r="C2" s="2"/>
      <c r="D2" s="2"/>
      <c r="E2" s="2"/>
      <c r="F2" s="2"/>
      <c r="G2" s="2"/>
      <c r="H2" s="2"/>
      <c r="I2" s="2"/>
      <c r="J2" s="2"/>
    </row>
    <row r="3" ht="38" customHeight="1">
      <c r="A3" s="40" t="str">
        <v>Select a SKU and inclusive date range. Shows the first 200 matching valid movements in source-entry order. Narrow dates if the match count exceeds 200.</v>
      </c>
      <c r="B3" s="40"/>
      <c r="C3" s="40"/>
      <c r="D3" s="40"/>
      <c r="E3" s="40"/>
      <c r="F3" s="40"/>
      <c r="G3" s="40"/>
      <c r="H3" s="40"/>
      <c r="I3" s="40"/>
      <c r="J3" s="40"/>
    </row>
    <row r="4" ht="24" customHeight="1">
      <c r="A4" s="2"/>
      <c r="B4" s="2" t="str">
        <v>SKU</v>
      </c>
      <c r="C4" s="62" t="str">
        <v>SKU000123</v>
      </c>
      <c r="D4" s="2"/>
      <c r="E4" s="2" t="str">
        <v>From</v>
      </c>
      <c r="F4" s="63" t="n">
        <f>MAX(1,Start!$F$5-Start!$C$11+1)</f>
        <v>46224</v>
      </c>
      <c r="G4" s="2"/>
      <c r="H4" s="2" t="str">
        <v>Through</v>
      </c>
      <c r="I4" s="63" t="n">
        <f>Start!$F$5</f>
        <v>46313</v>
      </c>
      <c r="J4" s="2"/>
    </row>
    <row r="5" ht="24" customHeight="1">
      <c r="A5" s="2" t="str">
        <f>IF(C4="","Choose a SKU",IF(OR(NOT(ISNUMBER(F4)),NOT(ISNUMBER(I4)),F4&gt;I4),"Check query dates","Matches: "&amp;'Transactions'!L106&amp;IF('Transactions'!L106&gt;200,". Showing 200; narrow the dates.","")))</f>
        <v>Matches: 2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>
      <c r="A6" s="10" t="str">
        <v>Movement ID</v>
      </c>
      <c r="B6" s="10" t="str">
        <v>Date</v>
      </c>
      <c r="C6" s="10" t="str">
        <v>SKU</v>
      </c>
      <c r="D6" s="10" t="str">
        <v>Movement</v>
      </c>
      <c r="E6" s="10" t="str">
        <v>Quantity</v>
      </c>
      <c r="F6" s="10" t="str">
        <v>Signed qty</v>
      </c>
      <c r="G6" s="10" t="str">
        <v>Reference</v>
      </c>
      <c r="H6" s="10" t="str">
        <v>Notes</v>
      </c>
      <c r="I6" s="10" t="str">
        <v>PO line ID</v>
      </c>
      <c r="J6" s="10" t="str">
        <v>Source row</v>
      </c>
    </row>
    <row r="7" ht="24" customHeight="1">
      <c r="A7" s="2" t="str">
        <f>IF($J7="","",INDEX('Transactions'!$A$1:$A$106,$J7))</f>
        <v>EXAMPLE-RCPT-001</v>
      </c>
      <c r="B7" s="26" t="n">
        <f>IF($J7="","",INDEX('Transactions'!$B$1:$B$106,$J7))</f>
        <v>46313</v>
      </c>
      <c r="C7" s="2" t="str">
        <f>IF($J7="","",INDEX('Transactions'!$K$1:$K$106,$J7))</f>
        <v>SKU000123</v>
      </c>
      <c r="D7" s="2" t="str">
        <f>IF($J7="","",INDEX('Transactions'!$D$1:$D$106,$J7))</f>
        <v>IN</v>
      </c>
      <c r="E7" s="2" t="n">
        <f>IF($J7="","",INDEX('Transactions'!$E$1:$E$106,$J7))</f>
        <v>10</v>
      </c>
      <c r="F7" s="2" t="n">
        <f>IF($J7="","",INDEX('Transactions'!$I$1:$I$106,$J7))</f>
        <v>10</v>
      </c>
      <c r="G7" s="2" t="str">
        <f>IF($J7="","",INDEX('Transactions'!$F$1:$F$106,$J7))</f>
        <v>PO-EXAMPLE-001</v>
      </c>
      <c r="H7" s="2" t="str">
        <f>IF($J7="","",INDEX('Transactions'!$G$1:$G$106,$J7))</f>
        <v>Synthetic partial receipt</v>
      </c>
      <c r="I7" s="2" t="str">
        <f>IF($J7="","",INDEX('Transactions'!$J$1:$J$106,$J7))</f>
        <v>POL-001</v>
      </c>
      <c r="J7" s="2" t="n">
        <f>IF(OR($C$4="",$F$4&gt;$I$4),"",IFERROR(MATCH(1,'Transactions'!$M$7:$M$106,0)+6,""))</f>
        <v>7</v>
      </c>
    </row>
    <row r="8" ht="24" customHeight="1">
      <c r="A8" s="2" t="str">
        <f>IF($J8="","",INDEX('Transactions'!$A$1:$A$106,$J8))</f>
        <v>COUNT-EXAMPLE-COUNT-01-SKU000123</v>
      </c>
      <c r="B8" s="26" t="n">
        <f>IF($J8="","",INDEX('Transactions'!$B$1:$B$106,$J8))</f>
        <v>46313</v>
      </c>
      <c r="C8" s="2" t="str">
        <f>IF($J8="","",INDEX('Transactions'!$K$1:$K$106,$J8))</f>
        <v>SKU000123</v>
      </c>
      <c r="D8" s="2" t="str">
        <f>IF($J8="","",INDEX('Transactions'!$D$1:$D$106,$J8))</f>
        <v>ADJUST-</v>
      </c>
      <c r="E8" s="2" t="n">
        <f>IF($J8="","",INDEX('Transactions'!$E$1:$E$106,$J8))</f>
        <v>2</v>
      </c>
      <c r="F8" s="2" t="n">
        <f>IF($J8="","",INDEX('Transactions'!$I$1:$I$106,$J8))</f>
        <v>-2</v>
      </c>
      <c r="G8" s="2" t="str">
        <f>IF($J8="","",INDEX('Transactions'!$F$1:$F$106,$J8))</f>
        <v>EXAMPLE-COUNT-01</v>
      </c>
      <c r="H8" s="2" t="str">
        <f>IF($J8="","",INDEX('Transactions'!$G$1:$G$106,$J8))</f>
        <v>Approved count adjustment</v>
      </c>
      <c r="I8" s="2" t="str">
        <f>IF($J8="","",INDEX('Transactions'!$J$1:$J$106,$J8))</f>
      </c>
      <c r="J8" s="2" t="n">
        <f>IF(OR($C$4="",$F$4&gt;$I$4),"",IFERROR(MATCH(2,'Transactions'!$M$7:$M$106,0)+6,""))</f>
        <v>9</v>
      </c>
    </row>
    <row r="9" ht="24" customHeight="1">
      <c r="A9" s="2" t="str">
        <f>IF($J9="","",INDEX('Transactions'!$A$1:$A$106,$J9))</f>
      </c>
      <c r="B9" s="26" t="str">
        <f>IF($J9="","",INDEX('Transactions'!$B$1:$B$106,$J9))</f>
      </c>
      <c r="C9" s="2" t="str">
        <f>IF($J9="","",INDEX('Transactions'!$K$1:$K$106,$J9))</f>
      </c>
      <c r="D9" s="2" t="str">
        <f>IF($J9="","",INDEX('Transactions'!$D$1:$D$106,$J9))</f>
      </c>
      <c r="E9" s="2" t="str">
        <f>IF($J9="","",INDEX('Transactions'!$E$1:$E$106,$J9))</f>
      </c>
      <c r="F9" s="2" t="str">
        <f>IF($J9="","",INDEX('Transactions'!$I$1:$I$106,$J9))</f>
      </c>
      <c r="G9" s="2" t="str">
        <f>IF($J9="","",INDEX('Transactions'!$F$1:$F$106,$J9))</f>
      </c>
      <c r="H9" s="2" t="str">
        <f>IF($J9="","",INDEX('Transactions'!$G$1:$G$106,$J9))</f>
      </c>
      <c r="I9" s="2" t="str">
        <f>IF($J9="","",INDEX('Transactions'!$J$1:$J$106,$J9))</f>
      </c>
      <c r="J9" s="2" t="str">
        <f>IF(OR($C$4="",$F$4&gt;$I$4),"",IFERROR(MATCH(3,'Transactions'!$M$7:$M$106,0)+6,""))</f>
      </c>
    </row>
    <row r="10" ht="24" customHeight="1">
      <c r="A10" s="2" t="str">
        <f>IF($J10="","",INDEX('Transactions'!$A$1:$A$106,$J10))</f>
      </c>
      <c r="B10" s="26" t="str">
        <f>IF($J10="","",INDEX('Transactions'!$B$1:$B$106,$J10))</f>
      </c>
      <c r="C10" s="2" t="str">
        <f>IF($J10="","",INDEX('Transactions'!$K$1:$K$106,$J10))</f>
      </c>
      <c r="D10" s="2" t="str">
        <f>IF($J10="","",INDEX('Transactions'!$D$1:$D$106,$J10))</f>
      </c>
      <c r="E10" s="2" t="str">
        <f>IF($J10="","",INDEX('Transactions'!$E$1:$E$106,$J10))</f>
      </c>
      <c r="F10" s="2" t="str">
        <f>IF($J10="","",INDEX('Transactions'!$I$1:$I$106,$J10))</f>
      </c>
      <c r="G10" s="2" t="str">
        <f>IF($J10="","",INDEX('Transactions'!$F$1:$F$106,$J10))</f>
      </c>
      <c r="H10" s="2" t="str">
        <f>IF($J10="","",INDEX('Transactions'!$G$1:$G$106,$J10))</f>
      </c>
      <c r="I10" s="2" t="str">
        <f>IF($J10="","",INDEX('Transactions'!$J$1:$J$106,$J10))</f>
      </c>
      <c r="J10" s="2" t="str">
        <f>IF(OR($C$4="",$F$4&gt;$I$4),"",IFERROR(MATCH(4,'Transactions'!$M$7:$M$106,0)+6,""))</f>
      </c>
    </row>
    <row r="11" ht="24" customHeight="1">
      <c r="A11" s="2" t="str">
        <f>IF($J11="","",INDEX('Transactions'!$A$1:$A$106,$J11))</f>
      </c>
      <c r="B11" s="26" t="str">
        <f>IF($J11="","",INDEX('Transactions'!$B$1:$B$106,$J11))</f>
      </c>
      <c r="C11" s="2" t="str">
        <f>IF($J11="","",INDEX('Transactions'!$K$1:$K$106,$J11))</f>
      </c>
      <c r="D11" s="2" t="str">
        <f>IF($J11="","",INDEX('Transactions'!$D$1:$D$106,$J11))</f>
      </c>
      <c r="E11" s="2" t="str">
        <f>IF($J11="","",INDEX('Transactions'!$E$1:$E$106,$J11))</f>
      </c>
      <c r="F11" s="2" t="str">
        <f>IF($J11="","",INDEX('Transactions'!$I$1:$I$106,$J11))</f>
      </c>
      <c r="G11" s="2" t="str">
        <f>IF($J11="","",INDEX('Transactions'!$F$1:$F$106,$J11))</f>
      </c>
      <c r="H11" s="2" t="str">
        <f>IF($J11="","",INDEX('Transactions'!$G$1:$G$106,$J11))</f>
      </c>
      <c r="I11" s="2" t="str">
        <f>IF($J11="","",INDEX('Transactions'!$J$1:$J$106,$J11))</f>
      </c>
      <c r="J11" s="2" t="str">
        <f>IF(OR($C$4="",$F$4&gt;$I$4),"",IFERROR(MATCH(5,'Transactions'!$M$7:$M$106,0)+6,""))</f>
      </c>
    </row>
    <row r="12" ht="24" customHeight="1">
      <c r="A12" s="2" t="str">
        <f>IF($J12="","",INDEX('Transactions'!$A$1:$A$106,$J12))</f>
      </c>
      <c r="B12" s="26" t="str">
        <f>IF($J12="","",INDEX('Transactions'!$B$1:$B$106,$J12))</f>
      </c>
      <c r="C12" s="2" t="str">
        <f>IF($J12="","",INDEX('Transactions'!$K$1:$K$106,$J12))</f>
      </c>
      <c r="D12" s="2" t="str">
        <f>IF($J12="","",INDEX('Transactions'!$D$1:$D$106,$J12))</f>
      </c>
      <c r="E12" s="2" t="str">
        <f>IF($J12="","",INDEX('Transactions'!$E$1:$E$106,$J12))</f>
      </c>
      <c r="F12" s="2" t="str">
        <f>IF($J12="","",INDEX('Transactions'!$I$1:$I$106,$J12))</f>
      </c>
      <c r="G12" s="2" t="str">
        <f>IF($J12="","",INDEX('Transactions'!$F$1:$F$106,$J12))</f>
      </c>
      <c r="H12" s="2" t="str">
        <f>IF($J12="","",INDEX('Transactions'!$G$1:$G$106,$J12))</f>
      </c>
      <c r="I12" s="2" t="str">
        <f>IF($J12="","",INDEX('Transactions'!$J$1:$J$106,$J12))</f>
      </c>
      <c r="J12" s="2" t="str">
        <f>IF(OR($C$4="",$F$4&gt;$I$4),"",IFERROR(MATCH(6,'Transactions'!$M$7:$M$106,0)+6,""))</f>
      </c>
    </row>
    <row r="13" ht="24" customHeight="1">
      <c r="A13" s="2" t="str">
        <f>IF($J13="","",INDEX('Transactions'!$A$1:$A$106,$J13))</f>
      </c>
      <c r="B13" s="26" t="str">
        <f>IF($J13="","",INDEX('Transactions'!$B$1:$B$106,$J13))</f>
      </c>
      <c r="C13" s="2" t="str">
        <f>IF($J13="","",INDEX('Transactions'!$K$1:$K$106,$J13))</f>
      </c>
      <c r="D13" s="2" t="str">
        <f>IF($J13="","",INDEX('Transactions'!$D$1:$D$106,$J13))</f>
      </c>
      <c r="E13" s="2" t="str">
        <f>IF($J13="","",INDEX('Transactions'!$E$1:$E$106,$J13))</f>
      </c>
      <c r="F13" s="2" t="str">
        <f>IF($J13="","",INDEX('Transactions'!$I$1:$I$106,$J13))</f>
      </c>
      <c r="G13" s="2" t="str">
        <f>IF($J13="","",INDEX('Transactions'!$F$1:$F$106,$J13))</f>
      </c>
      <c r="H13" s="2" t="str">
        <f>IF($J13="","",INDEX('Transactions'!$G$1:$G$106,$J13))</f>
      </c>
      <c r="I13" s="2" t="str">
        <f>IF($J13="","",INDEX('Transactions'!$J$1:$J$106,$J13))</f>
      </c>
      <c r="J13" s="2" t="str">
        <f>IF(OR($C$4="",$F$4&gt;$I$4),"",IFERROR(MATCH(7,'Transactions'!$M$7:$M$106,0)+6,""))</f>
      </c>
    </row>
    <row r="14" ht="24" customHeight="1">
      <c r="A14" s="2" t="str">
        <f>IF($J14="","",INDEX('Transactions'!$A$1:$A$106,$J14))</f>
      </c>
      <c r="B14" s="26" t="str">
        <f>IF($J14="","",INDEX('Transactions'!$B$1:$B$106,$J14))</f>
      </c>
      <c r="C14" s="2" t="str">
        <f>IF($J14="","",INDEX('Transactions'!$K$1:$K$106,$J14))</f>
      </c>
      <c r="D14" s="2" t="str">
        <f>IF($J14="","",INDEX('Transactions'!$D$1:$D$106,$J14))</f>
      </c>
      <c r="E14" s="2" t="str">
        <f>IF($J14="","",INDEX('Transactions'!$E$1:$E$106,$J14))</f>
      </c>
      <c r="F14" s="2" t="str">
        <f>IF($J14="","",INDEX('Transactions'!$I$1:$I$106,$J14))</f>
      </c>
      <c r="G14" s="2" t="str">
        <f>IF($J14="","",INDEX('Transactions'!$F$1:$F$106,$J14))</f>
      </c>
      <c r="H14" s="2" t="str">
        <f>IF($J14="","",INDEX('Transactions'!$G$1:$G$106,$J14))</f>
      </c>
      <c r="I14" s="2" t="str">
        <f>IF($J14="","",INDEX('Transactions'!$J$1:$J$106,$J14))</f>
      </c>
      <c r="J14" s="2" t="str">
        <f>IF(OR($C$4="",$F$4&gt;$I$4),"",IFERROR(MATCH(8,'Transactions'!$M$7:$M$106,0)+6,""))</f>
      </c>
    </row>
    <row r="15" ht="24" customHeight="1">
      <c r="A15" s="2" t="str">
        <f>IF($J15="","",INDEX('Transactions'!$A$1:$A$106,$J15))</f>
      </c>
      <c r="B15" s="26" t="str">
        <f>IF($J15="","",INDEX('Transactions'!$B$1:$B$106,$J15))</f>
      </c>
      <c r="C15" s="2" t="str">
        <f>IF($J15="","",INDEX('Transactions'!$K$1:$K$106,$J15))</f>
      </c>
      <c r="D15" s="2" t="str">
        <f>IF($J15="","",INDEX('Transactions'!$D$1:$D$106,$J15))</f>
      </c>
      <c r="E15" s="2" t="str">
        <f>IF($J15="","",INDEX('Transactions'!$E$1:$E$106,$J15))</f>
      </c>
      <c r="F15" s="2" t="str">
        <f>IF($J15="","",INDEX('Transactions'!$I$1:$I$106,$J15))</f>
      </c>
      <c r="G15" s="2" t="str">
        <f>IF($J15="","",INDEX('Transactions'!$F$1:$F$106,$J15))</f>
      </c>
      <c r="H15" s="2" t="str">
        <f>IF($J15="","",INDEX('Transactions'!$G$1:$G$106,$J15))</f>
      </c>
      <c r="I15" s="2" t="str">
        <f>IF($J15="","",INDEX('Transactions'!$J$1:$J$106,$J15))</f>
      </c>
      <c r="J15" s="2" t="str">
        <f>IF(OR($C$4="",$F$4&gt;$I$4),"",IFERROR(MATCH(9,'Transactions'!$M$7:$M$106,0)+6,""))</f>
      </c>
    </row>
    <row r="16" ht="24" customHeight="1">
      <c r="A16" s="2" t="str">
        <f>IF($J16="","",INDEX('Transactions'!$A$1:$A$106,$J16))</f>
      </c>
      <c r="B16" s="26" t="str">
        <f>IF($J16="","",INDEX('Transactions'!$B$1:$B$106,$J16))</f>
      </c>
      <c r="C16" s="2" t="str">
        <f>IF($J16="","",INDEX('Transactions'!$K$1:$K$106,$J16))</f>
      </c>
      <c r="D16" s="2" t="str">
        <f>IF($J16="","",INDEX('Transactions'!$D$1:$D$106,$J16))</f>
      </c>
      <c r="E16" s="2" t="str">
        <f>IF($J16="","",INDEX('Transactions'!$E$1:$E$106,$J16))</f>
      </c>
      <c r="F16" s="2" t="str">
        <f>IF($J16="","",INDEX('Transactions'!$I$1:$I$106,$J16))</f>
      </c>
      <c r="G16" s="2" t="str">
        <f>IF($J16="","",INDEX('Transactions'!$F$1:$F$106,$J16))</f>
      </c>
      <c r="H16" s="2" t="str">
        <f>IF($J16="","",INDEX('Transactions'!$G$1:$G$106,$J16))</f>
      </c>
      <c r="I16" s="2" t="str">
        <f>IF($J16="","",INDEX('Transactions'!$J$1:$J$106,$J16))</f>
      </c>
      <c r="J16" s="2" t="str">
        <f>IF(OR($C$4="",$F$4&gt;$I$4),"",IFERROR(MATCH(10,'Transactions'!$M$7:$M$106,0)+6,""))</f>
      </c>
    </row>
    <row r="17" ht="24" customHeight="1">
      <c r="A17" s="2" t="str">
        <f>IF($J17="","",INDEX('Transactions'!$A$1:$A$106,$J17))</f>
      </c>
      <c r="B17" s="26" t="str">
        <f>IF($J17="","",INDEX('Transactions'!$B$1:$B$106,$J17))</f>
      </c>
      <c r="C17" s="2" t="str">
        <f>IF($J17="","",INDEX('Transactions'!$K$1:$K$106,$J17))</f>
      </c>
      <c r="D17" s="2" t="str">
        <f>IF($J17="","",INDEX('Transactions'!$D$1:$D$106,$J17))</f>
      </c>
      <c r="E17" s="2" t="str">
        <f>IF($J17="","",INDEX('Transactions'!$E$1:$E$106,$J17))</f>
      </c>
      <c r="F17" s="2" t="str">
        <f>IF($J17="","",INDEX('Transactions'!$I$1:$I$106,$J17))</f>
      </c>
      <c r="G17" s="2" t="str">
        <f>IF($J17="","",INDEX('Transactions'!$F$1:$F$106,$J17))</f>
      </c>
      <c r="H17" s="2" t="str">
        <f>IF($J17="","",INDEX('Transactions'!$G$1:$G$106,$J17))</f>
      </c>
      <c r="I17" s="2" t="str">
        <f>IF($J17="","",INDEX('Transactions'!$J$1:$J$106,$J17))</f>
      </c>
      <c r="J17" s="2" t="str">
        <f>IF(OR($C$4="",$F$4&gt;$I$4),"",IFERROR(MATCH(11,'Transactions'!$M$7:$M$106,0)+6,""))</f>
      </c>
    </row>
    <row r="18" ht="24" customHeight="1">
      <c r="A18" s="2" t="str">
        <f>IF($J18="","",INDEX('Transactions'!$A$1:$A$106,$J18))</f>
      </c>
      <c r="B18" s="26" t="str">
        <f>IF($J18="","",INDEX('Transactions'!$B$1:$B$106,$J18))</f>
      </c>
      <c r="C18" s="2" t="str">
        <f>IF($J18="","",INDEX('Transactions'!$K$1:$K$106,$J18))</f>
      </c>
      <c r="D18" s="2" t="str">
        <f>IF($J18="","",INDEX('Transactions'!$D$1:$D$106,$J18))</f>
      </c>
      <c r="E18" s="2" t="str">
        <f>IF($J18="","",INDEX('Transactions'!$E$1:$E$106,$J18))</f>
      </c>
      <c r="F18" s="2" t="str">
        <f>IF($J18="","",INDEX('Transactions'!$I$1:$I$106,$J18))</f>
      </c>
      <c r="G18" s="2" t="str">
        <f>IF($J18="","",INDEX('Transactions'!$F$1:$F$106,$J18))</f>
      </c>
      <c r="H18" s="2" t="str">
        <f>IF($J18="","",INDEX('Transactions'!$G$1:$G$106,$J18))</f>
      </c>
      <c r="I18" s="2" t="str">
        <f>IF($J18="","",INDEX('Transactions'!$J$1:$J$106,$J18))</f>
      </c>
      <c r="J18" s="2" t="str">
        <f>IF(OR($C$4="",$F$4&gt;$I$4),"",IFERROR(MATCH(12,'Transactions'!$M$7:$M$106,0)+6,""))</f>
      </c>
    </row>
    <row r="19" ht="24" customHeight="1">
      <c r="A19" s="2" t="str">
        <f>IF($J19="","",INDEX('Transactions'!$A$1:$A$106,$J19))</f>
      </c>
      <c r="B19" s="26" t="str">
        <f>IF($J19="","",INDEX('Transactions'!$B$1:$B$106,$J19))</f>
      </c>
      <c r="C19" s="2" t="str">
        <f>IF($J19="","",INDEX('Transactions'!$K$1:$K$106,$J19))</f>
      </c>
      <c r="D19" s="2" t="str">
        <f>IF($J19="","",INDEX('Transactions'!$D$1:$D$106,$J19))</f>
      </c>
      <c r="E19" s="2" t="str">
        <f>IF($J19="","",INDEX('Transactions'!$E$1:$E$106,$J19))</f>
      </c>
      <c r="F19" s="2" t="str">
        <f>IF($J19="","",INDEX('Transactions'!$I$1:$I$106,$J19))</f>
      </c>
      <c r="G19" s="2" t="str">
        <f>IF($J19="","",INDEX('Transactions'!$F$1:$F$106,$J19))</f>
      </c>
      <c r="H19" s="2" t="str">
        <f>IF($J19="","",INDEX('Transactions'!$G$1:$G$106,$J19))</f>
      </c>
      <c r="I19" s="2" t="str">
        <f>IF($J19="","",INDEX('Transactions'!$J$1:$J$106,$J19))</f>
      </c>
      <c r="J19" s="2" t="str">
        <f>IF(OR($C$4="",$F$4&gt;$I$4),"",IFERROR(MATCH(13,'Transactions'!$M$7:$M$106,0)+6,""))</f>
      </c>
    </row>
    <row r="20" ht="24" customHeight="1">
      <c r="A20" s="2" t="str">
        <f>IF($J20="","",INDEX('Transactions'!$A$1:$A$106,$J20))</f>
      </c>
      <c r="B20" s="26" t="str">
        <f>IF($J20="","",INDEX('Transactions'!$B$1:$B$106,$J20))</f>
      </c>
      <c r="C20" s="2" t="str">
        <f>IF($J20="","",INDEX('Transactions'!$K$1:$K$106,$J20))</f>
      </c>
      <c r="D20" s="2" t="str">
        <f>IF($J20="","",INDEX('Transactions'!$D$1:$D$106,$J20))</f>
      </c>
      <c r="E20" s="2" t="str">
        <f>IF($J20="","",INDEX('Transactions'!$E$1:$E$106,$J20))</f>
      </c>
      <c r="F20" s="2" t="str">
        <f>IF($J20="","",INDEX('Transactions'!$I$1:$I$106,$J20))</f>
      </c>
      <c r="G20" s="2" t="str">
        <f>IF($J20="","",INDEX('Transactions'!$F$1:$F$106,$J20))</f>
      </c>
      <c r="H20" s="2" t="str">
        <f>IF($J20="","",INDEX('Transactions'!$G$1:$G$106,$J20))</f>
      </c>
      <c r="I20" s="2" t="str">
        <f>IF($J20="","",INDEX('Transactions'!$J$1:$J$106,$J20))</f>
      </c>
      <c r="J20" s="2" t="str">
        <f>IF(OR($C$4="",$F$4&gt;$I$4),"",IFERROR(MATCH(14,'Transactions'!$M$7:$M$106,0)+6,""))</f>
      </c>
    </row>
    <row r="21" ht="24" customHeight="1">
      <c r="A21" s="2" t="str">
        <f>IF($J21="","",INDEX('Transactions'!$A$1:$A$106,$J21))</f>
      </c>
      <c r="B21" s="26" t="str">
        <f>IF($J21="","",INDEX('Transactions'!$B$1:$B$106,$J21))</f>
      </c>
      <c r="C21" s="2" t="str">
        <f>IF($J21="","",INDEX('Transactions'!$K$1:$K$106,$J21))</f>
      </c>
      <c r="D21" s="2" t="str">
        <f>IF($J21="","",INDEX('Transactions'!$D$1:$D$106,$J21))</f>
      </c>
      <c r="E21" s="2" t="str">
        <f>IF($J21="","",INDEX('Transactions'!$E$1:$E$106,$J21))</f>
      </c>
      <c r="F21" s="2" t="str">
        <f>IF($J21="","",INDEX('Transactions'!$I$1:$I$106,$J21))</f>
      </c>
      <c r="G21" s="2" t="str">
        <f>IF($J21="","",INDEX('Transactions'!$F$1:$F$106,$J21))</f>
      </c>
      <c r="H21" s="2" t="str">
        <f>IF($J21="","",INDEX('Transactions'!$G$1:$G$106,$J21))</f>
      </c>
      <c r="I21" s="2" t="str">
        <f>IF($J21="","",INDEX('Transactions'!$J$1:$J$106,$J21))</f>
      </c>
      <c r="J21" s="2" t="str">
        <f>IF(OR($C$4="",$F$4&gt;$I$4),"",IFERROR(MATCH(15,'Transactions'!$M$7:$M$106,0)+6,""))</f>
      </c>
    </row>
    <row r="22" ht="24" customHeight="1">
      <c r="A22" s="2" t="str">
        <f>IF($J22="","",INDEX('Transactions'!$A$1:$A$106,$J22))</f>
      </c>
      <c r="B22" s="26" t="str">
        <f>IF($J22="","",INDEX('Transactions'!$B$1:$B$106,$J22))</f>
      </c>
      <c r="C22" s="2" t="str">
        <f>IF($J22="","",INDEX('Transactions'!$K$1:$K$106,$J22))</f>
      </c>
      <c r="D22" s="2" t="str">
        <f>IF($J22="","",INDEX('Transactions'!$D$1:$D$106,$J22))</f>
      </c>
      <c r="E22" s="2" t="str">
        <f>IF($J22="","",INDEX('Transactions'!$E$1:$E$106,$J22))</f>
      </c>
      <c r="F22" s="2" t="str">
        <f>IF($J22="","",INDEX('Transactions'!$I$1:$I$106,$J22))</f>
      </c>
      <c r="G22" s="2" t="str">
        <f>IF($J22="","",INDEX('Transactions'!$F$1:$F$106,$J22))</f>
      </c>
      <c r="H22" s="2" t="str">
        <f>IF($J22="","",INDEX('Transactions'!$G$1:$G$106,$J22))</f>
      </c>
      <c r="I22" s="2" t="str">
        <f>IF($J22="","",INDEX('Transactions'!$J$1:$J$106,$J22))</f>
      </c>
      <c r="J22" s="2" t="str">
        <f>IF(OR($C$4="",$F$4&gt;$I$4),"",IFERROR(MATCH(16,'Transactions'!$M$7:$M$106,0)+6,""))</f>
      </c>
    </row>
    <row r="23" ht="24" customHeight="1">
      <c r="A23" s="2" t="str">
        <f>IF($J23="","",INDEX('Transactions'!$A$1:$A$106,$J23))</f>
      </c>
      <c r="B23" s="26" t="str">
        <f>IF($J23="","",INDEX('Transactions'!$B$1:$B$106,$J23))</f>
      </c>
      <c r="C23" s="2" t="str">
        <f>IF($J23="","",INDEX('Transactions'!$K$1:$K$106,$J23))</f>
      </c>
      <c r="D23" s="2" t="str">
        <f>IF($J23="","",INDEX('Transactions'!$D$1:$D$106,$J23))</f>
      </c>
      <c r="E23" s="2" t="str">
        <f>IF($J23="","",INDEX('Transactions'!$E$1:$E$106,$J23))</f>
      </c>
      <c r="F23" s="2" t="str">
        <f>IF($J23="","",INDEX('Transactions'!$I$1:$I$106,$J23))</f>
      </c>
      <c r="G23" s="2" t="str">
        <f>IF($J23="","",INDEX('Transactions'!$F$1:$F$106,$J23))</f>
      </c>
      <c r="H23" s="2" t="str">
        <f>IF($J23="","",INDEX('Transactions'!$G$1:$G$106,$J23))</f>
      </c>
      <c r="I23" s="2" t="str">
        <f>IF($J23="","",INDEX('Transactions'!$J$1:$J$106,$J23))</f>
      </c>
      <c r="J23" s="2" t="str">
        <f>IF(OR($C$4="",$F$4&gt;$I$4),"",IFERROR(MATCH(17,'Transactions'!$M$7:$M$106,0)+6,""))</f>
      </c>
    </row>
    <row r="24" ht="24" customHeight="1">
      <c r="A24" s="2" t="str">
        <f>IF($J24="","",INDEX('Transactions'!$A$1:$A$106,$J24))</f>
      </c>
      <c r="B24" s="26" t="str">
        <f>IF($J24="","",INDEX('Transactions'!$B$1:$B$106,$J24))</f>
      </c>
      <c r="C24" s="2" t="str">
        <f>IF($J24="","",INDEX('Transactions'!$K$1:$K$106,$J24))</f>
      </c>
      <c r="D24" s="2" t="str">
        <f>IF($J24="","",INDEX('Transactions'!$D$1:$D$106,$J24))</f>
      </c>
      <c r="E24" s="2" t="str">
        <f>IF($J24="","",INDEX('Transactions'!$E$1:$E$106,$J24))</f>
      </c>
      <c r="F24" s="2" t="str">
        <f>IF($J24="","",INDEX('Transactions'!$I$1:$I$106,$J24))</f>
      </c>
      <c r="G24" s="2" t="str">
        <f>IF($J24="","",INDEX('Transactions'!$F$1:$F$106,$J24))</f>
      </c>
      <c r="H24" s="2" t="str">
        <f>IF($J24="","",INDEX('Transactions'!$G$1:$G$106,$J24))</f>
      </c>
      <c r="I24" s="2" t="str">
        <f>IF($J24="","",INDEX('Transactions'!$J$1:$J$106,$J24))</f>
      </c>
      <c r="J24" s="2" t="str">
        <f>IF(OR($C$4="",$F$4&gt;$I$4),"",IFERROR(MATCH(18,'Transactions'!$M$7:$M$106,0)+6,""))</f>
      </c>
    </row>
    <row r="25" ht="24" customHeight="1">
      <c r="A25" s="2" t="str">
        <f>IF($J25="","",INDEX('Transactions'!$A$1:$A$106,$J25))</f>
      </c>
      <c r="B25" s="26" t="str">
        <f>IF($J25="","",INDEX('Transactions'!$B$1:$B$106,$J25))</f>
      </c>
      <c r="C25" s="2" t="str">
        <f>IF($J25="","",INDEX('Transactions'!$K$1:$K$106,$J25))</f>
      </c>
      <c r="D25" s="2" t="str">
        <f>IF($J25="","",INDEX('Transactions'!$D$1:$D$106,$J25))</f>
      </c>
      <c r="E25" s="2" t="str">
        <f>IF($J25="","",INDEX('Transactions'!$E$1:$E$106,$J25))</f>
      </c>
      <c r="F25" s="2" t="str">
        <f>IF($J25="","",INDEX('Transactions'!$I$1:$I$106,$J25))</f>
      </c>
      <c r="G25" s="2" t="str">
        <f>IF($J25="","",INDEX('Transactions'!$F$1:$F$106,$J25))</f>
      </c>
      <c r="H25" s="2" t="str">
        <f>IF($J25="","",INDEX('Transactions'!$G$1:$G$106,$J25))</f>
      </c>
      <c r="I25" s="2" t="str">
        <f>IF($J25="","",INDEX('Transactions'!$J$1:$J$106,$J25))</f>
      </c>
      <c r="J25" s="2" t="str">
        <f>IF(OR($C$4="",$F$4&gt;$I$4),"",IFERROR(MATCH(19,'Transactions'!$M$7:$M$106,0)+6,""))</f>
      </c>
    </row>
    <row r="26" ht="24" customHeight="1">
      <c r="A26" s="2" t="str">
        <f>IF($J26="","",INDEX('Transactions'!$A$1:$A$106,$J26))</f>
      </c>
      <c r="B26" s="26" t="str">
        <f>IF($J26="","",INDEX('Transactions'!$B$1:$B$106,$J26))</f>
      </c>
      <c r="C26" s="2" t="str">
        <f>IF($J26="","",INDEX('Transactions'!$K$1:$K$106,$J26))</f>
      </c>
      <c r="D26" s="2" t="str">
        <f>IF($J26="","",INDEX('Transactions'!$D$1:$D$106,$J26))</f>
      </c>
      <c r="E26" s="2" t="str">
        <f>IF($J26="","",INDEX('Transactions'!$E$1:$E$106,$J26))</f>
      </c>
      <c r="F26" s="2" t="str">
        <f>IF($J26="","",INDEX('Transactions'!$I$1:$I$106,$J26))</f>
      </c>
      <c r="G26" s="2" t="str">
        <f>IF($J26="","",INDEX('Transactions'!$F$1:$F$106,$J26))</f>
      </c>
      <c r="H26" s="2" t="str">
        <f>IF($J26="","",INDEX('Transactions'!$G$1:$G$106,$J26))</f>
      </c>
      <c r="I26" s="2" t="str">
        <f>IF($J26="","",INDEX('Transactions'!$J$1:$J$106,$J26))</f>
      </c>
      <c r="J26" s="2" t="str">
        <f>IF(OR($C$4="",$F$4&gt;$I$4),"",IFERROR(MATCH(20,'Transactions'!$M$7:$M$106,0)+6,""))</f>
      </c>
    </row>
    <row r="27" ht="24" customHeight="1">
      <c r="A27" s="2" t="str">
        <f>IF($J27="","",INDEX('Transactions'!$A$1:$A$106,$J27))</f>
      </c>
      <c r="B27" s="26" t="str">
        <f>IF($J27="","",INDEX('Transactions'!$B$1:$B$106,$J27))</f>
      </c>
      <c r="C27" s="2" t="str">
        <f>IF($J27="","",INDEX('Transactions'!$K$1:$K$106,$J27))</f>
      </c>
      <c r="D27" s="2" t="str">
        <f>IF($J27="","",INDEX('Transactions'!$D$1:$D$106,$J27))</f>
      </c>
      <c r="E27" s="2" t="str">
        <f>IF($J27="","",INDEX('Transactions'!$E$1:$E$106,$J27))</f>
      </c>
      <c r="F27" s="2" t="str">
        <f>IF($J27="","",INDEX('Transactions'!$I$1:$I$106,$J27))</f>
      </c>
      <c r="G27" s="2" t="str">
        <f>IF($J27="","",INDEX('Transactions'!$F$1:$F$106,$J27))</f>
      </c>
      <c r="H27" s="2" t="str">
        <f>IF($J27="","",INDEX('Transactions'!$G$1:$G$106,$J27))</f>
      </c>
      <c r="I27" s="2" t="str">
        <f>IF($J27="","",INDEX('Transactions'!$J$1:$J$106,$J27))</f>
      </c>
      <c r="J27" s="2" t="str">
        <f>IF(OR($C$4="",$F$4&gt;$I$4),"",IFERROR(MATCH(21,'Transactions'!$M$7:$M$106,0)+6,""))</f>
      </c>
    </row>
    <row r="28" ht="24" customHeight="1">
      <c r="A28" s="2" t="str">
        <f>IF($J28="","",INDEX('Transactions'!$A$1:$A$106,$J28))</f>
      </c>
      <c r="B28" s="26" t="str">
        <f>IF($J28="","",INDEX('Transactions'!$B$1:$B$106,$J28))</f>
      </c>
      <c r="C28" s="2" t="str">
        <f>IF($J28="","",INDEX('Transactions'!$K$1:$K$106,$J28))</f>
      </c>
      <c r="D28" s="2" t="str">
        <f>IF($J28="","",INDEX('Transactions'!$D$1:$D$106,$J28))</f>
      </c>
      <c r="E28" s="2" t="str">
        <f>IF($J28="","",INDEX('Transactions'!$E$1:$E$106,$J28))</f>
      </c>
      <c r="F28" s="2" t="str">
        <f>IF($J28="","",INDEX('Transactions'!$I$1:$I$106,$J28))</f>
      </c>
      <c r="G28" s="2" t="str">
        <f>IF($J28="","",INDEX('Transactions'!$F$1:$F$106,$J28))</f>
      </c>
      <c r="H28" s="2" t="str">
        <f>IF($J28="","",INDEX('Transactions'!$G$1:$G$106,$J28))</f>
      </c>
      <c r="I28" s="2" t="str">
        <f>IF($J28="","",INDEX('Transactions'!$J$1:$J$106,$J28))</f>
      </c>
      <c r="J28" s="2" t="str">
        <f>IF(OR($C$4="",$F$4&gt;$I$4),"",IFERROR(MATCH(22,'Transactions'!$M$7:$M$106,0)+6,""))</f>
      </c>
    </row>
    <row r="29" ht="24" customHeight="1">
      <c r="A29" s="2" t="str">
        <f>IF($J29="","",INDEX('Transactions'!$A$1:$A$106,$J29))</f>
      </c>
      <c r="B29" s="26" t="str">
        <f>IF($J29="","",INDEX('Transactions'!$B$1:$B$106,$J29))</f>
      </c>
      <c r="C29" s="2" t="str">
        <f>IF($J29="","",INDEX('Transactions'!$K$1:$K$106,$J29))</f>
      </c>
      <c r="D29" s="2" t="str">
        <f>IF($J29="","",INDEX('Transactions'!$D$1:$D$106,$J29))</f>
      </c>
      <c r="E29" s="2" t="str">
        <f>IF($J29="","",INDEX('Transactions'!$E$1:$E$106,$J29))</f>
      </c>
      <c r="F29" s="2" t="str">
        <f>IF($J29="","",INDEX('Transactions'!$I$1:$I$106,$J29))</f>
      </c>
      <c r="G29" s="2" t="str">
        <f>IF($J29="","",INDEX('Transactions'!$F$1:$F$106,$J29))</f>
      </c>
      <c r="H29" s="2" t="str">
        <f>IF($J29="","",INDEX('Transactions'!$G$1:$G$106,$J29))</f>
      </c>
      <c r="I29" s="2" t="str">
        <f>IF($J29="","",INDEX('Transactions'!$J$1:$J$106,$J29))</f>
      </c>
      <c r="J29" s="2" t="str">
        <f>IF(OR($C$4="",$F$4&gt;$I$4),"",IFERROR(MATCH(23,'Transactions'!$M$7:$M$106,0)+6,""))</f>
      </c>
    </row>
    <row r="30" ht="24" customHeight="1">
      <c r="A30" s="2" t="str">
        <f>IF($J30="","",INDEX('Transactions'!$A$1:$A$106,$J30))</f>
      </c>
      <c r="B30" s="26" t="str">
        <f>IF($J30="","",INDEX('Transactions'!$B$1:$B$106,$J30))</f>
      </c>
      <c r="C30" s="2" t="str">
        <f>IF($J30="","",INDEX('Transactions'!$K$1:$K$106,$J30))</f>
      </c>
      <c r="D30" s="2" t="str">
        <f>IF($J30="","",INDEX('Transactions'!$D$1:$D$106,$J30))</f>
      </c>
      <c r="E30" s="2" t="str">
        <f>IF($J30="","",INDEX('Transactions'!$E$1:$E$106,$J30))</f>
      </c>
      <c r="F30" s="2" t="str">
        <f>IF($J30="","",INDEX('Transactions'!$I$1:$I$106,$J30))</f>
      </c>
      <c r="G30" s="2" t="str">
        <f>IF($J30="","",INDEX('Transactions'!$F$1:$F$106,$J30))</f>
      </c>
      <c r="H30" s="2" t="str">
        <f>IF($J30="","",INDEX('Transactions'!$G$1:$G$106,$J30))</f>
      </c>
      <c r="I30" s="2" t="str">
        <f>IF($J30="","",INDEX('Transactions'!$J$1:$J$106,$J30))</f>
      </c>
      <c r="J30" s="2" t="str">
        <f>IF(OR($C$4="",$F$4&gt;$I$4),"",IFERROR(MATCH(24,'Transactions'!$M$7:$M$106,0)+6,""))</f>
      </c>
    </row>
    <row r="31" ht="24" customHeight="1">
      <c r="A31" s="2" t="str">
        <f>IF($J31="","",INDEX('Transactions'!$A$1:$A$106,$J31))</f>
      </c>
      <c r="B31" s="26" t="str">
        <f>IF($J31="","",INDEX('Transactions'!$B$1:$B$106,$J31))</f>
      </c>
      <c r="C31" s="2" t="str">
        <f>IF($J31="","",INDEX('Transactions'!$K$1:$K$106,$J31))</f>
      </c>
      <c r="D31" s="2" t="str">
        <f>IF($J31="","",INDEX('Transactions'!$D$1:$D$106,$J31))</f>
      </c>
      <c r="E31" s="2" t="str">
        <f>IF($J31="","",INDEX('Transactions'!$E$1:$E$106,$J31))</f>
      </c>
      <c r="F31" s="2" t="str">
        <f>IF($J31="","",INDEX('Transactions'!$I$1:$I$106,$J31))</f>
      </c>
      <c r="G31" s="2" t="str">
        <f>IF($J31="","",INDEX('Transactions'!$F$1:$F$106,$J31))</f>
      </c>
      <c r="H31" s="2" t="str">
        <f>IF($J31="","",INDEX('Transactions'!$G$1:$G$106,$J31))</f>
      </c>
      <c r="I31" s="2" t="str">
        <f>IF($J31="","",INDEX('Transactions'!$J$1:$J$106,$J31))</f>
      </c>
      <c r="J31" s="2" t="str">
        <f>IF(OR($C$4="",$F$4&gt;$I$4),"",IFERROR(MATCH(25,'Transactions'!$M$7:$M$106,0)+6,""))</f>
      </c>
    </row>
    <row r="32" ht="24" customHeight="1">
      <c r="A32" s="2" t="str">
        <f>IF($J32="","",INDEX('Transactions'!$A$1:$A$106,$J32))</f>
      </c>
      <c r="B32" s="26" t="str">
        <f>IF($J32="","",INDEX('Transactions'!$B$1:$B$106,$J32))</f>
      </c>
      <c r="C32" s="2" t="str">
        <f>IF($J32="","",INDEX('Transactions'!$K$1:$K$106,$J32))</f>
      </c>
      <c r="D32" s="2" t="str">
        <f>IF($J32="","",INDEX('Transactions'!$D$1:$D$106,$J32))</f>
      </c>
      <c r="E32" s="2" t="str">
        <f>IF($J32="","",INDEX('Transactions'!$E$1:$E$106,$J32))</f>
      </c>
      <c r="F32" s="2" t="str">
        <f>IF($J32="","",INDEX('Transactions'!$I$1:$I$106,$J32))</f>
      </c>
      <c r="G32" s="2" t="str">
        <f>IF($J32="","",INDEX('Transactions'!$F$1:$F$106,$J32))</f>
      </c>
      <c r="H32" s="2" t="str">
        <f>IF($J32="","",INDEX('Transactions'!$G$1:$G$106,$J32))</f>
      </c>
      <c r="I32" s="2" t="str">
        <f>IF($J32="","",INDEX('Transactions'!$J$1:$J$106,$J32))</f>
      </c>
      <c r="J32" s="2" t="str">
        <f>IF(OR($C$4="",$F$4&gt;$I$4),"",IFERROR(MATCH(26,'Transactions'!$M$7:$M$106,0)+6,""))</f>
      </c>
    </row>
    <row r="33" ht="24" customHeight="1">
      <c r="A33" s="2" t="str">
        <f>IF($J33="","",INDEX('Transactions'!$A$1:$A$106,$J33))</f>
      </c>
      <c r="B33" s="26" t="str">
        <f>IF($J33="","",INDEX('Transactions'!$B$1:$B$106,$J33))</f>
      </c>
      <c r="C33" s="2" t="str">
        <f>IF($J33="","",INDEX('Transactions'!$K$1:$K$106,$J33))</f>
      </c>
      <c r="D33" s="2" t="str">
        <f>IF($J33="","",INDEX('Transactions'!$D$1:$D$106,$J33))</f>
      </c>
      <c r="E33" s="2" t="str">
        <f>IF($J33="","",INDEX('Transactions'!$E$1:$E$106,$J33))</f>
      </c>
      <c r="F33" s="2" t="str">
        <f>IF($J33="","",INDEX('Transactions'!$I$1:$I$106,$J33))</f>
      </c>
      <c r="G33" s="2" t="str">
        <f>IF($J33="","",INDEX('Transactions'!$F$1:$F$106,$J33))</f>
      </c>
      <c r="H33" s="2" t="str">
        <f>IF($J33="","",INDEX('Transactions'!$G$1:$G$106,$J33))</f>
      </c>
      <c r="I33" s="2" t="str">
        <f>IF($J33="","",INDEX('Transactions'!$J$1:$J$106,$J33))</f>
      </c>
      <c r="J33" s="2" t="str">
        <f>IF(OR($C$4="",$F$4&gt;$I$4),"",IFERROR(MATCH(27,'Transactions'!$M$7:$M$106,0)+6,""))</f>
      </c>
    </row>
    <row r="34" ht="24" customHeight="1">
      <c r="A34" s="2" t="str">
        <f>IF($J34="","",INDEX('Transactions'!$A$1:$A$106,$J34))</f>
      </c>
      <c r="B34" s="26" t="str">
        <f>IF($J34="","",INDEX('Transactions'!$B$1:$B$106,$J34))</f>
      </c>
      <c r="C34" s="2" t="str">
        <f>IF($J34="","",INDEX('Transactions'!$K$1:$K$106,$J34))</f>
      </c>
      <c r="D34" s="2" t="str">
        <f>IF($J34="","",INDEX('Transactions'!$D$1:$D$106,$J34))</f>
      </c>
      <c r="E34" s="2" t="str">
        <f>IF($J34="","",INDEX('Transactions'!$E$1:$E$106,$J34))</f>
      </c>
      <c r="F34" s="2" t="str">
        <f>IF($J34="","",INDEX('Transactions'!$I$1:$I$106,$J34))</f>
      </c>
      <c r="G34" s="2" t="str">
        <f>IF($J34="","",INDEX('Transactions'!$F$1:$F$106,$J34))</f>
      </c>
      <c r="H34" s="2" t="str">
        <f>IF($J34="","",INDEX('Transactions'!$G$1:$G$106,$J34))</f>
      </c>
      <c r="I34" s="2" t="str">
        <f>IF($J34="","",INDEX('Transactions'!$J$1:$J$106,$J34))</f>
      </c>
      <c r="J34" s="2" t="str">
        <f>IF(OR($C$4="",$F$4&gt;$I$4),"",IFERROR(MATCH(28,'Transactions'!$M$7:$M$106,0)+6,""))</f>
      </c>
    </row>
    <row r="35" ht="24" customHeight="1">
      <c r="A35" s="2" t="str">
        <f>IF($J35="","",INDEX('Transactions'!$A$1:$A$106,$J35))</f>
      </c>
      <c r="B35" s="26" t="str">
        <f>IF($J35="","",INDEX('Transactions'!$B$1:$B$106,$J35))</f>
      </c>
      <c r="C35" s="2" t="str">
        <f>IF($J35="","",INDEX('Transactions'!$K$1:$K$106,$J35))</f>
      </c>
      <c r="D35" s="2" t="str">
        <f>IF($J35="","",INDEX('Transactions'!$D$1:$D$106,$J35))</f>
      </c>
      <c r="E35" s="2" t="str">
        <f>IF($J35="","",INDEX('Transactions'!$E$1:$E$106,$J35))</f>
      </c>
      <c r="F35" s="2" t="str">
        <f>IF($J35="","",INDEX('Transactions'!$I$1:$I$106,$J35))</f>
      </c>
      <c r="G35" s="2" t="str">
        <f>IF($J35="","",INDEX('Transactions'!$F$1:$F$106,$J35))</f>
      </c>
      <c r="H35" s="2" t="str">
        <f>IF($J35="","",INDEX('Transactions'!$G$1:$G$106,$J35))</f>
      </c>
      <c r="I35" s="2" t="str">
        <f>IF($J35="","",INDEX('Transactions'!$J$1:$J$106,$J35))</f>
      </c>
      <c r="J35" s="2" t="str">
        <f>IF(OR($C$4="",$F$4&gt;$I$4),"",IFERROR(MATCH(29,'Transactions'!$M$7:$M$106,0)+6,""))</f>
      </c>
    </row>
    <row r="36" ht="24" customHeight="1">
      <c r="A36" s="2" t="str">
        <f>IF($J36="","",INDEX('Transactions'!$A$1:$A$106,$J36))</f>
      </c>
      <c r="B36" s="26" t="str">
        <f>IF($J36="","",INDEX('Transactions'!$B$1:$B$106,$J36))</f>
      </c>
      <c r="C36" s="2" t="str">
        <f>IF($J36="","",INDEX('Transactions'!$K$1:$K$106,$J36))</f>
      </c>
      <c r="D36" s="2" t="str">
        <f>IF($J36="","",INDEX('Transactions'!$D$1:$D$106,$J36))</f>
      </c>
      <c r="E36" s="2" t="str">
        <f>IF($J36="","",INDEX('Transactions'!$E$1:$E$106,$J36))</f>
      </c>
      <c r="F36" s="2" t="str">
        <f>IF($J36="","",INDEX('Transactions'!$I$1:$I$106,$J36))</f>
      </c>
      <c r="G36" s="2" t="str">
        <f>IF($J36="","",INDEX('Transactions'!$F$1:$F$106,$J36))</f>
      </c>
      <c r="H36" s="2" t="str">
        <f>IF($J36="","",INDEX('Transactions'!$G$1:$G$106,$J36))</f>
      </c>
      <c r="I36" s="2" t="str">
        <f>IF($J36="","",INDEX('Transactions'!$J$1:$J$106,$J36))</f>
      </c>
      <c r="J36" s="2" t="str">
        <f>IF(OR($C$4="",$F$4&gt;$I$4),"",IFERROR(MATCH(30,'Transactions'!$M$7:$M$106,0)+6,""))</f>
      </c>
    </row>
    <row r="37" ht="24" customHeight="1">
      <c r="A37" s="2" t="str">
        <f>IF($J37="","",INDEX('Transactions'!$A$1:$A$106,$J37))</f>
      </c>
      <c r="B37" s="26" t="str">
        <f>IF($J37="","",INDEX('Transactions'!$B$1:$B$106,$J37))</f>
      </c>
      <c r="C37" s="2" t="str">
        <f>IF($J37="","",INDEX('Transactions'!$K$1:$K$106,$J37))</f>
      </c>
      <c r="D37" s="2" t="str">
        <f>IF($J37="","",INDEX('Transactions'!$D$1:$D$106,$J37))</f>
      </c>
      <c r="E37" s="2" t="str">
        <f>IF($J37="","",INDEX('Transactions'!$E$1:$E$106,$J37))</f>
      </c>
      <c r="F37" s="2" t="str">
        <f>IF($J37="","",INDEX('Transactions'!$I$1:$I$106,$J37))</f>
      </c>
      <c r="G37" s="2" t="str">
        <f>IF($J37="","",INDEX('Transactions'!$F$1:$F$106,$J37))</f>
      </c>
      <c r="H37" s="2" t="str">
        <f>IF($J37="","",INDEX('Transactions'!$G$1:$G$106,$J37))</f>
      </c>
      <c r="I37" s="2" t="str">
        <f>IF($J37="","",INDEX('Transactions'!$J$1:$J$106,$J37))</f>
      </c>
      <c r="J37" s="2" t="str">
        <f>IF(OR($C$4="",$F$4&gt;$I$4),"",IFERROR(MATCH(31,'Transactions'!$M$7:$M$106,0)+6,""))</f>
      </c>
    </row>
    <row r="38" ht="24" customHeight="1">
      <c r="A38" s="2" t="str">
        <f>IF($J38="","",INDEX('Transactions'!$A$1:$A$106,$J38))</f>
      </c>
      <c r="B38" s="26" t="str">
        <f>IF($J38="","",INDEX('Transactions'!$B$1:$B$106,$J38))</f>
      </c>
      <c r="C38" s="2" t="str">
        <f>IF($J38="","",INDEX('Transactions'!$K$1:$K$106,$J38))</f>
      </c>
      <c r="D38" s="2" t="str">
        <f>IF($J38="","",INDEX('Transactions'!$D$1:$D$106,$J38))</f>
      </c>
      <c r="E38" s="2" t="str">
        <f>IF($J38="","",INDEX('Transactions'!$E$1:$E$106,$J38))</f>
      </c>
      <c r="F38" s="2" t="str">
        <f>IF($J38="","",INDEX('Transactions'!$I$1:$I$106,$J38))</f>
      </c>
      <c r="G38" s="2" t="str">
        <f>IF($J38="","",INDEX('Transactions'!$F$1:$F$106,$J38))</f>
      </c>
      <c r="H38" s="2" t="str">
        <f>IF($J38="","",INDEX('Transactions'!$G$1:$G$106,$J38))</f>
      </c>
      <c r="I38" s="2" t="str">
        <f>IF($J38="","",INDEX('Transactions'!$J$1:$J$106,$J38))</f>
      </c>
      <c r="J38" s="2" t="str">
        <f>IF(OR($C$4="",$F$4&gt;$I$4),"",IFERROR(MATCH(32,'Transactions'!$M$7:$M$106,0)+6,""))</f>
      </c>
    </row>
    <row r="39" ht="24" customHeight="1">
      <c r="A39" s="2" t="str">
        <f>IF($J39="","",INDEX('Transactions'!$A$1:$A$106,$J39))</f>
      </c>
      <c r="B39" s="26" t="str">
        <f>IF($J39="","",INDEX('Transactions'!$B$1:$B$106,$J39))</f>
      </c>
      <c r="C39" s="2" t="str">
        <f>IF($J39="","",INDEX('Transactions'!$K$1:$K$106,$J39))</f>
      </c>
      <c r="D39" s="2" t="str">
        <f>IF($J39="","",INDEX('Transactions'!$D$1:$D$106,$J39))</f>
      </c>
      <c r="E39" s="2" t="str">
        <f>IF($J39="","",INDEX('Transactions'!$E$1:$E$106,$J39))</f>
      </c>
      <c r="F39" s="2" t="str">
        <f>IF($J39="","",INDEX('Transactions'!$I$1:$I$106,$J39))</f>
      </c>
      <c r="G39" s="2" t="str">
        <f>IF($J39="","",INDEX('Transactions'!$F$1:$F$106,$J39))</f>
      </c>
      <c r="H39" s="2" t="str">
        <f>IF($J39="","",INDEX('Transactions'!$G$1:$G$106,$J39))</f>
      </c>
      <c r="I39" s="2" t="str">
        <f>IF($J39="","",INDEX('Transactions'!$J$1:$J$106,$J39))</f>
      </c>
      <c r="J39" s="2" t="str">
        <f>IF(OR($C$4="",$F$4&gt;$I$4),"",IFERROR(MATCH(33,'Transactions'!$M$7:$M$106,0)+6,""))</f>
      </c>
    </row>
    <row r="40" ht="24" customHeight="1">
      <c r="A40" s="2" t="str">
        <f>IF($J40="","",INDEX('Transactions'!$A$1:$A$106,$J40))</f>
      </c>
      <c r="B40" s="26" t="str">
        <f>IF($J40="","",INDEX('Transactions'!$B$1:$B$106,$J40))</f>
      </c>
      <c r="C40" s="2" t="str">
        <f>IF($J40="","",INDEX('Transactions'!$K$1:$K$106,$J40))</f>
      </c>
      <c r="D40" s="2" t="str">
        <f>IF($J40="","",INDEX('Transactions'!$D$1:$D$106,$J40))</f>
      </c>
      <c r="E40" s="2" t="str">
        <f>IF($J40="","",INDEX('Transactions'!$E$1:$E$106,$J40))</f>
      </c>
      <c r="F40" s="2" t="str">
        <f>IF($J40="","",INDEX('Transactions'!$I$1:$I$106,$J40))</f>
      </c>
      <c r="G40" s="2" t="str">
        <f>IF($J40="","",INDEX('Transactions'!$F$1:$F$106,$J40))</f>
      </c>
      <c r="H40" s="2" t="str">
        <f>IF($J40="","",INDEX('Transactions'!$G$1:$G$106,$J40))</f>
      </c>
      <c r="I40" s="2" t="str">
        <f>IF($J40="","",INDEX('Transactions'!$J$1:$J$106,$J40))</f>
      </c>
      <c r="J40" s="2" t="str">
        <f>IF(OR($C$4="",$F$4&gt;$I$4),"",IFERROR(MATCH(34,'Transactions'!$M$7:$M$106,0)+6,""))</f>
      </c>
    </row>
    <row r="41" ht="24" customHeight="1">
      <c r="A41" s="2" t="str">
        <f>IF($J41="","",INDEX('Transactions'!$A$1:$A$106,$J41))</f>
      </c>
      <c r="B41" s="26" t="str">
        <f>IF($J41="","",INDEX('Transactions'!$B$1:$B$106,$J41))</f>
      </c>
      <c r="C41" s="2" t="str">
        <f>IF($J41="","",INDEX('Transactions'!$K$1:$K$106,$J41))</f>
      </c>
      <c r="D41" s="2" t="str">
        <f>IF($J41="","",INDEX('Transactions'!$D$1:$D$106,$J41))</f>
      </c>
      <c r="E41" s="2" t="str">
        <f>IF($J41="","",INDEX('Transactions'!$E$1:$E$106,$J41))</f>
      </c>
      <c r="F41" s="2" t="str">
        <f>IF($J41="","",INDEX('Transactions'!$I$1:$I$106,$J41))</f>
      </c>
      <c r="G41" s="2" t="str">
        <f>IF($J41="","",INDEX('Transactions'!$F$1:$F$106,$J41))</f>
      </c>
      <c r="H41" s="2" t="str">
        <f>IF($J41="","",INDEX('Transactions'!$G$1:$G$106,$J41))</f>
      </c>
      <c r="I41" s="2" t="str">
        <f>IF($J41="","",INDEX('Transactions'!$J$1:$J$106,$J41))</f>
      </c>
      <c r="J41" s="2" t="str">
        <f>IF(OR($C$4="",$F$4&gt;$I$4),"",IFERROR(MATCH(35,'Transactions'!$M$7:$M$106,0)+6,""))</f>
      </c>
    </row>
    <row r="42" ht="24" customHeight="1">
      <c r="A42" s="2" t="str">
        <f>IF($J42="","",INDEX('Transactions'!$A$1:$A$106,$J42))</f>
      </c>
      <c r="B42" s="26" t="str">
        <f>IF($J42="","",INDEX('Transactions'!$B$1:$B$106,$J42))</f>
      </c>
      <c r="C42" s="2" t="str">
        <f>IF($J42="","",INDEX('Transactions'!$K$1:$K$106,$J42))</f>
      </c>
      <c r="D42" s="2" t="str">
        <f>IF($J42="","",INDEX('Transactions'!$D$1:$D$106,$J42))</f>
      </c>
      <c r="E42" s="2" t="str">
        <f>IF($J42="","",INDEX('Transactions'!$E$1:$E$106,$J42))</f>
      </c>
      <c r="F42" s="2" t="str">
        <f>IF($J42="","",INDEX('Transactions'!$I$1:$I$106,$J42))</f>
      </c>
      <c r="G42" s="2" t="str">
        <f>IF($J42="","",INDEX('Transactions'!$F$1:$F$106,$J42))</f>
      </c>
      <c r="H42" s="2" t="str">
        <f>IF($J42="","",INDEX('Transactions'!$G$1:$G$106,$J42))</f>
      </c>
      <c r="I42" s="2" t="str">
        <f>IF($J42="","",INDEX('Transactions'!$J$1:$J$106,$J42))</f>
      </c>
      <c r="J42" s="2" t="str">
        <f>IF(OR($C$4="",$F$4&gt;$I$4),"",IFERROR(MATCH(36,'Transactions'!$M$7:$M$106,0)+6,""))</f>
      </c>
    </row>
    <row r="43" ht="24" customHeight="1">
      <c r="A43" s="2" t="str">
        <f>IF($J43="","",INDEX('Transactions'!$A$1:$A$106,$J43))</f>
      </c>
      <c r="B43" s="26" t="str">
        <f>IF($J43="","",INDEX('Transactions'!$B$1:$B$106,$J43))</f>
      </c>
      <c r="C43" s="2" t="str">
        <f>IF($J43="","",INDEX('Transactions'!$K$1:$K$106,$J43))</f>
      </c>
      <c r="D43" s="2" t="str">
        <f>IF($J43="","",INDEX('Transactions'!$D$1:$D$106,$J43))</f>
      </c>
      <c r="E43" s="2" t="str">
        <f>IF($J43="","",INDEX('Transactions'!$E$1:$E$106,$J43))</f>
      </c>
      <c r="F43" s="2" t="str">
        <f>IF($J43="","",INDEX('Transactions'!$I$1:$I$106,$J43))</f>
      </c>
      <c r="G43" s="2" t="str">
        <f>IF($J43="","",INDEX('Transactions'!$F$1:$F$106,$J43))</f>
      </c>
      <c r="H43" s="2" t="str">
        <f>IF($J43="","",INDEX('Transactions'!$G$1:$G$106,$J43))</f>
      </c>
      <c r="I43" s="2" t="str">
        <f>IF($J43="","",INDEX('Transactions'!$J$1:$J$106,$J43))</f>
      </c>
      <c r="J43" s="2" t="str">
        <f>IF(OR($C$4="",$F$4&gt;$I$4),"",IFERROR(MATCH(37,'Transactions'!$M$7:$M$106,0)+6,""))</f>
      </c>
    </row>
    <row r="44" ht="24" customHeight="1">
      <c r="A44" s="2" t="str">
        <f>IF($J44="","",INDEX('Transactions'!$A$1:$A$106,$J44))</f>
      </c>
      <c r="B44" s="26" t="str">
        <f>IF($J44="","",INDEX('Transactions'!$B$1:$B$106,$J44))</f>
      </c>
      <c r="C44" s="2" t="str">
        <f>IF($J44="","",INDEX('Transactions'!$K$1:$K$106,$J44))</f>
      </c>
      <c r="D44" s="2" t="str">
        <f>IF($J44="","",INDEX('Transactions'!$D$1:$D$106,$J44))</f>
      </c>
      <c r="E44" s="2" t="str">
        <f>IF($J44="","",INDEX('Transactions'!$E$1:$E$106,$J44))</f>
      </c>
      <c r="F44" s="2" t="str">
        <f>IF($J44="","",INDEX('Transactions'!$I$1:$I$106,$J44))</f>
      </c>
      <c r="G44" s="2" t="str">
        <f>IF($J44="","",INDEX('Transactions'!$F$1:$F$106,$J44))</f>
      </c>
      <c r="H44" s="2" t="str">
        <f>IF($J44="","",INDEX('Transactions'!$G$1:$G$106,$J44))</f>
      </c>
      <c r="I44" s="2" t="str">
        <f>IF($J44="","",INDEX('Transactions'!$J$1:$J$106,$J44))</f>
      </c>
      <c r="J44" s="2" t="str">
        <f>IF(OR($C$4="",$F$4&gt;$I$4),"",IFERROR(MATCH(38,'Transactions'!$M$7:$M$106,0)+6,""))</f>
      </c>
    </row>
    <row r="45" ht="24" customHeight="1">
      <c r="A45" s="2" t="str">
        <f>IF($J45="","",INDEX('Transactions'!$A$1:$A$106,$J45))</f>
      </c>
      <c r="B45" s="26" t="str">
        <f>IF($J45="","",INDEX('Transactions'!$B$1:$B$106,$J45))</f>
      </c>
      <c r="C45" s="2" t="str">
        <f>IF($J45="","",INDEX('Transactions'!$K$1:$K$106,$J45))</f>
      </c>
      <c r="D45" s="2" t="str">
        <f>IF($J45="","",INDEX('Transactions'!$D$1:$D$106,$J45))</f>
      </c>
      <c r="E45" s="2" t="str">
        <f>IF($J45="","",INDEX('Transactions'!$E$1:$E$106,$J45))</f>
      </c>
      <c r="F45" s="2" t="str">
        <f>IF($J45="","",INDEX('Transactions'!$I$1:$I$106,$J45))</f>
      </c>
      <c r="G45" s="2" t="str">
        <f>IF($J45="","",INDEX('Transactions'!$F$1:$F$106,$J45))</f>
      </c>
      <c r="H45" s="2" t="str">
        <f>IF($J45="","",INDEX('Transactions'!$G$1:$G$106,$J45))</f>
      </c>
      <c r="I45" s="2" t="str">
        <f>IF($J45="","",INDEX('Transactions'!$J$1:$J$106,$J45))</f>
      </c>
      <c r="J45" s="2" t="str">
        <f>IF(OR($C$4="",$F$4&gt;$I$4),"",IFERROR(MATCH(39,'Transactions'!$M$7:$M$106,0)+6,""))</f>
      </c>
    </row>
    <row r="46" ht="24" customHeight="1">
      <c r="A46" s="2" t="str">
        <f>IF($J46="","",INDEX('Transactions'!$A$1:$A$106,$J46))</f>
      </c>
      <c r="B46" s="26" t="str">
        <f>IF($J46="","",INDEX('Transactions'!$B$1:$B$106,$J46))</f>
      </c>
      <c r="C46" s="2" t="str">
        <f>IF($J46="","",INDEX('Transactions'!$K$1:$K$106,$J46))</f>
      </c>
      <c r="D46" s="2" t="str">
        <f>IF($J46="","",INDEX('Transactions'!$D$1:$D$106,$J46))</f>
      </c>
      <c r="E46" s="2" t="str">
        <f>IF($J46="","",INDEX('Transactions'!$E$1:$E$106,$J46))</f>
      </c>
      <c r="F46" s="2" t="str">
        <f>IF($J46="","",INDEX('Transactions'!$I$1:$I$106,$J46))</f>
      </c>
      <c r="G46" s="2" t="str">
        <f>IF($J46="","",INDEX('Transactions'!$F$1:$F$106,$J46))</f>
      </c>
      <c r="H46" s="2" t="str">
        <f>IF($J46="","",INDEX('Transactions'!$G$1:$G$106,$J46))</f>
      </c>
      <c r="I46" s="2" t="str">
        <f>IF($J46="","",INDEX('Transactions'!$J$1:$J$106,$J46))</f>
      </c>
      <c r="J46" s="2" t="str">
        <f>IF(OR($C$4="",$F$4&gt;$I$4),"",IFERROR(MATCH(40,'Transactions'!$M$7:$M$106,0)+6,""))</f>
      </c>
    </row>
    <row r="47" ht="24" customHeight="1">
      <c r="A47" s="2" t="str">
        <f>IF($J47="","",INDEX('Transactions'!$A$1:$A$106,$J47))</f>
      </c>
      <c r="B47" s="26" t="str">
        <f>IF($J47="","",INDEX('Transactions'!$B$1:$B$106,$J47))</f>
      </c>
      <c r="C47" s="2" t="str">
        <f>IF($J47="","",INDEX('Transactions'!$K$1:$K$106,$J47))</f>
      </c>
      <c r="D47" s="2" t="str">
        <f>IF($J47="","",INDEX('Transactions'!$D$1:$D$106,$J47))</f>
      </c>
      <c r="E47" s="2" t="str">
        <f>IF($J47="","",INDEX('Transactions'!$E$1:$E$106,$J47))</f>
      </c>
      <c r="F47" s="2" t="str">
        <f>IF($J47="","",INDEX('Transactions'!$I$1:$I$106,$J47))</f>
      </c>
      <c r="G47" s="2" t="str">
        <f>IF($J47="","",INDEX('Transactions'!$F$1:$F$106,$J47))</f>
      </c>
      <c r="H47" s="2" t="str">
        <f>IF($J47="","",INDEX('Transactions'!$G$1:$G$106,$J47))</f>
      </c>
      <c r="I47" s="2" t="str">
        <f>IF($J47="","",INDEX('Transactions'!$J$1:$J$106,$J47))</f>
      </c>
      <c r="J47" s="2" t="str">
        <f>IF(OR($C$4="",$F$4&gt;$I$4),"",IFERROR(MATCH(41,'Transactions'!$M$7:$M$106,0)+6,""))</f>
      </c>
    </row>
    <row r="48" ht="24" customHeight="1">
      <c r="A48" s="2" t="str">
        <f>IF($J48="","",INDEX('Transactions'!$A$1:$A$106,$J48))</f>
      </c>
      <c r="B48" s="26" t="str">
        <f>IF($J48="","",INDEX('Transactions'!$B$1:$B$106,$J48))</f>
      </c>
      <c r="C48" s="2" t="str">
        <f>IF($J48="","",INDEX('Transactions'!$K$1:$K$106,$J48))</f>
      </c>
      <c r="D48" s="2" t="str">
        <f>IF($J48="","",INDEX('Transactions'!$D$1:$D$106,$J48))</f>
      </c>
      <c r="E48" s="2" t="str">
        <f>IF($J48="","",INDEX('Transactions'!$E$1:$E$106,$J48))</f>
      </c>
      <c r="F48" s="2" t="str">
        <f>IF($J48="","",INDEX('Transactions'!$I$1:$I$106,$J48))</f>
      </c>
      <c r="G48" s="2" t="str">
        <f>IF($J48="","",INDEX('Transactions'!$F$1:$F$106,$J48))</f>
      </c>
      <c r="H48" s="2" t="str">
        <f>IF($J48="","",INDEX('Transactions'!$G$1:$G$106,$J48))</f>
      </c>
      <c r="I48" s="2" t="str">
        <f>IF($J48="","",INDEX('Transactions'!$J$1:$J$106,$J48))</f>
      </c>
      <c r="J48" s="2" t="str">
        <f>IF(OR($C$4="",$F$4&gt;$I$4),"",IFERROR(MATCH(42,'Transactions'!$M$7:$M$106,0)+6,""))</f>
      </c>
    </row>
    <row r="49" ht="24" customHeight="1">
      <c r="A49" s="2" t="str">
        <f>IF($J49="","",INDEX('Transactions'!$A$1:$A$106,$J49))</f>
      </c>
      <c r="B49" s="26" t="str">
        <f>IF($J49="","",INDEX('Transactions'!$B$1:$B$106,$J49))</f>
      </c>
      <c r="C49" s="2" t="str">
        <f>IF($J49="","",INDEX('Transactions'!$K$1:$K$106,$J49))</f>
      </c>
      <c r="D49" s="2" t="str">
        <f>IF($J49="","",INDEX('Transactions'!$D$1:$D$106,$J49))</f>
      </c>
      <c r="E49" s="2" t="str">
        <f>IF($J49="","",INDEX('Transactions'!$E$1:$E$106,$J49))</f>
      </c>
      <c r="F49" s="2" t="str">
        <f>IF($J49="","",INDEX('Transactions'!$I$1:$I$106,$J49))</f>
      </c>
      <c r="G49" s="2" t="str">
        <f>IF($J49="","",INDEX('Transactions'!$F$1:$F$106,$J49))</f>
      </c>
      <c r="H49" s="2" t="str">
        <f>IF($J49="","",INDEX('Transactions'!$G$1:$G$106,$J49))</f>
      </c>
      <c r="I49" s="2" t="str">
        <f>IF($J49="","",INDEX('Transactions'!$J$1:$J$106,$J49))</f>
      </c>
      <c r="J49" s="2" t="str">
        <f>IF(OR($C$4="",$F$4&gt;$I$4),"",IFERROR(MATCH(43,'Transactions'!$M$7:$M$106,0)+6,""))</f>
      </c>
    </row>
    <row r="50" ht="24" customHeight="1">
      <c r="A50" s="2" t="str">
        <f>IF($J50="","",INDEX('Transactions'!$A$1:$A$106,$J50))</f>
      </c>
      <c r="B50" s="26" t="str">
        <f>IF($J50="","",INDEX('Transactions'!$B$1:$B$106,$J50))</f>
      </c>
      <c r="C50" s="2" t="str">
        <f>IF($J50="","",INDEX('Transactions'!$K$1:$K$106,$J50))</f>
      </c>
      <c r="D50" s="2" t="str">
        <f>IF($J50="","",INDEX('Transactions'!$D$1:$D$106,$J50))</f>
      </c>
      <c r="E50" s="2" t="str">
        <f>IF($J50="","",INDEX('Transactions'!$E$1:$E$106,$J50))</f>
      </c>
      <c r="F50" s="2" t="str">
        <f>IF($J50="","",INDEX('Transactions'!$I$1:$I$106,$J50))</f>
      </c>
      <c r="G50" s="2" t="str">
        <f>IF($J50="","",INDEX('Transactions'!$F$1:$F$106,$J50))</f>
      </c>
      <c r="H50" s="2" t="str">
        <f>IF($J50="","",INDEX('Transactions'!$G$1:$G$106,$J50))</f>
      </c>
      <c r="I50" s="2" t="str">
        <f>IF($J50="","",INDEX('Transactions'!$J$1:$J$106,$J50))</f>
      </c>
      <c r="J50" s="2" t="str">
        <f>IF(OR($C$4="",$F$4&gt;$I$4),"",IFERROR(MATCH(44,'Transactions'!$M$7:$M$106,0)+6,""))</f>
      </c>
    </row>
    <row r="51" ht="24" customHeight="1">
      <c r="A51" s="2" t="str">
        <f>IF($J51="","",INDEX('Transactions'!$A$1:$A$106,$J51))</f>
      </c>
      <c r="B51" s="26" t="str">
        <f>IF($J51="","",INDEX('Transactions'!$B$1:$B$106,$J51))</f>
      </c>
      <c r="C51" s="2" t="str">
        <f>IF($J51="","",INDEX('Transactions'!$K$1:$K$106,$J51))</f>
      </c>
      <c r="D51" s="2" t="str">
        <f>IF($J51="","",INDEX('Transactions'!$D$1:$D$106,$J51))</f>
      </c>
      <c r="E51" s="2" t="str">
        <f>IF($J51="","",INDEX('Transactions'!$E$1:$E$106,$J51))</f>
      </c>
      <c r="F51" s="2" t="str">
        <f>IF($J51="","",INDEX('Transactions'!$I$1:$I$106,$J51))</f>
      </c>
      <c r="G51" s="2" t="str">
        <f>IF($J51="","",INDEX('Transactions'!$F$1:$F$106,$J51))</f>
      </c>
      <c r="H51" s="2" t="str">
        <f>IF($J51="","",INDEX('Transactions'!$G$1:$G$106,$J51))</f>
      </c>
      <c r="I51" s="2" t="str">
        <f>IF($J51="","",INDEX('Transactions'!$J$1:$J$106,$J51))</f>
      </c>
      <c r="J51" s="2" t="str">
        <f>IF(OR($C$4="",$F$4&gt;$I$4),"",IFERROR(MATCH(45,'Transactions'!$M$7:$M$106,0)+6,""))</f>
      </c>
    </row>
    <row r="52" ht="24" customHeight="1">
      <c r="A52" s="2" t="str">
        <f>IF($J52="","",INDEX('Transactions'!$A$1:$A$106,$J52))</f>
      </c>
      <c r="B52" s="26" t="str">
        <f>IF($J52="","",INDEX('Transactions'!$B$1:$B$106,$J52))</f>
      </c>
      <c r="C52" s="2" t="str">
        <f>IF($J52="","",INDEX('Transactions'!$K$1:$K$106,$J52))</f>
      </c>
      <c r="D52" s="2" t="str">
        <f>IF($J52="","",INDEX('Transactions'!$D$1:$D$106,$J52))</f>
      </c>
      <c r="E52" s="2" t="str">
        <f>IF($J52="","",INDEX('Transactions'!$E$1:$E$106,$J52))</f>
      </c>
      <c r="F52" s="2" t="str">
        <f>IF($J52="","",INDEX('Transactions'!$I$1:$I$106,$J52))</f>
      </c>
      <c r="G52" s="2" t="str">
        <f>IF($J52="","",INDEX('Transactions'!$F$1:$F$106,$J52))</f>
      </c>
      <c r="H52" s="2" t="str">
        <f>IF($J52="","",INDEX('Transactions'!$G$1:$G$106,$J52))</f>
      </c>
      <c r="I52" s="2" t="str">
        <f>IF($J52="","",INDEX('Transactions'!$J$1:$J$106,$J52))</f>
      </c>
      <c r="J52" s="2" t="str">
        <f>IF(OR($C$4="",$F$4&gt;$I$4),"",IFERROR(MATCH(46,'Transactions'!$M$7:$M$106,0)+6,""))</f>
      </c>
    </row>
    <row r="53" ht="24" customHeight="1">
      <c r="A53" s="2" t="str">
        <f>IF($J53="","",INDEX('Transactions'!$A$1:$A$106,$J53))</f>
      </c>
      <c r="B53" s="26" t="str">
        <f>IF($J53="","",INDEX('Transactions'!$B$1:$B$106,$J53))</f>
      </c>
      <c r="C53" s="2" t="str">
        <f>IF($J53="","",INDEX('Transactions'!$K$1:$K$106,$J53))</f>
      </c>
      <c r="D53" s="2" t="str">
        <f>IF($J53="","",INDEX('Transactions'!$D$1:$D$106,$J53))</f>
      </c>
      <c r="E53" s="2" t="str">
        <f>IF($J53="","",INDEX('Transactions'!$E$1:$E$106,$J53))</f>
      </c>
      <c r="F53" s="2" t="str">
        <f>IF($J53="","",INDEX('Transactions'!$I$1:$I$106,$J53))</f>
      </c>
      <c r="G53" s="2" t="str">
        <f>IF($J53="","",INDEX('Transactions'!$F$1:$F$106,$J53))</f>
      </c>
      <c r="H53" s="2" t="str">
        <f>IF($J53="","",INDEX('Transactions'!$G$1:$G$106,$J53))</f>
      </c>
      <c r="I53" s="2" t="str">
        <f>IF($J53="","",INDEX('Transactions'!$J$1:$J$106,$J53))</f>
      </c>
      <c r="J53" s="2" t="str">
        <f>IF(OR($C$4="",$F$4&gt;$I$4),"",IFERROR(MATCH(47,'Transactions'!$M$7:$M$106,0)+6,""))</f>
      </c>
    </row>
    <row r="54" ht="24" customHeight="1">
      <c r="A54" s="2" t="str">
        <f>IF($J54="","",INDEX('Transactions'!$A$1:$A$106,$J54))</f>
      </c>
      <c r="B54" s="26" t="str">
        <f>IF($J54="","",INDEX('Transactions'!$B$1:$B$106,$J54))</f>
      </c>
      <c r="C54" s="2" t="str">
        <f>IF($J54="","",INDEX('Transactions'!$K$1:$K$106,$J54))</f>
      </c>
      <c r="D54" s="2" t="str">
        <f>IF($J54="","",INDEX('Transactions'!$D$1:$D$106,$J54))</f>
      </c>
      <c r="E54" s="2" t="str">
        <f>IF($J54="","",INDEX('Transactions'!$E$1:$E$106,$J54))</f>
      </c>
      <c r="F54" s="2" t="str">
        <f>IF($J54="","",INDEX('Transactions'!$I$1:$I$106,$J54))</f>
      </c>
      <c r="G54" s="2" t="str">
        <f>IF($J54="","",INDEX('Transactions'!$F$1:$F$106,$J54))</f>
      </c>
      <c r="H54" s="2" t="str">
        <f>IF($J54="","",INDEX('Transactions'!$G$1:$G$106,$J54))</f>
      </c>
      <c r="I54" s="2" t="str">
        <f>IF($J54="","",INDEX('Transactions'!$J$1:$J$106,$J54))</f>
      </c>
      <c r="J54" s="2" t="str">
        <f>IF(OR($C$4="",$F$4&gt;$I$4),"",IFERROR(MATCH(48,'Transactions'!$M$7:$M$106,0)+6,""))</f>
      </c>
    </row>
    <row r="55" ht="24" customHeight="1">
      <c r="A55" s="2" t="str">
        <f>IF($J55="","",INDEX('Transactions'!$A$1:$A$106,$J55))</f>
      </c>
      <c r="B55" s="26" t="str">
        <f>IF($J55="","",INDEX('Transactions'!$B$1:$B$106,$J55))</f>
      </c>
      <c r="C55" s="2" t="str">
        <f>IF($J55="","",INDEX('Transactions'!$K$1:$K$106,$J55))</f>
      </c>
      <c r="D55" s="2" t="str">
        <f>IF($J55="","",INDEX('Transactions'!$D$1:$D$106,$J55))</f>
      </c>
      <c r="E55" s="2" t="str">
        <f>IF($J55="","",INDEX('Transactions'!$E$1:$E$106,$J55))</f>
      </c>
      <c r="F55" s="2" t="str">
        <f>IF($J55="","",INDEX('Transactions'!$I$1:$I$106,$J55))</f>
      </c>
      <c r="G55" s="2" t="str">
        <f>IF($J55="","",INDEX('Transactions'!$F$1:$F$106,$J55))</f>
      </c>
      <c r="H55" s="2" t="str">
        <f>IF($J55="","",INDEX('Transactions'!$G$1:$G$106,$J55))</f>
      </c>
      <c r="I55" s="2" t="str">
        <f>IF($J55="","",INDEX('Transactions'!$J$1:$J$106,$J55))</f>
      </c>
      <c r="J55" s="2" t="str">
        <f>IF(OR($C$4="",$F$4&gt;$I$4),"",IFERROR(MATCH(49,'Transactions'!$M$7:$M$106,0)+6,""))</f>
      </c>
    </row>
    <row r="56" ht="24" customHeight="1">
      <c r="A56" s="2" t="str">
        <f>IF($J56="","",INDEX('Transactions'!$A$1:$A$106,$J56))</f>
      </c>
      <c r="B56" s="26" t="str">
        <f>IF($J56="","",INDEX('Transactions'!$B$1:$B$106,$J56))</f>
      </c>
      <c r="C56" s="2" t="str">
        <f>IF($J56="","",INDEX('Transactions'!$K$1:$K$106,$J56))</f>
      </c>
      <c r="D56" s="2" t="str">
        <f>IF($J56="","",INDEX('Transactions'!$D$1:$D$106,$J56))</f>
      </c>
      <c r="E56" s="2" t="str">
        <f>IF($J56="","",INDEX('Transactions'!$E$1:$E$106,$J56))</f>
      </c>
      <c r="F56" s="2" t="str">
        <f>IF($J56="","",INDEX('Transactions'!$I$1:$I$106,$J56))</f>
      </c>
      <c r="G56" s="2" t="str">
        <f>IF($J56="","",INDEX('Transactions'!$F$1:$F$106,$J56))</f>
      </c>
      <c r="H56" s="2" t="str">
        <f>IF($J56="","",INDEX('Transactions'!$G$1:$G$106,$J56))</f>
      </c>
      <c r="I56" s="2" t="str">
        <f>IF($J56="","",INDEX('Transactions'!$J$1:$J$106,$J56))</f>
      </c>
      <c r="J56" s="2" t="str">
        <f>IF(OR($C$4="",$F$4&gt;$I$4),"",IFERROR(MATCH(50,'Transactions'!$M$7:$M$106,0)+6,""))</f>
      </c>
    </row>
    <row r="57" ht="24" customHeight="1">
      <c r="A57" s="2" t="str">
        <f>IF($J57="","",INDEX('Transactions'!$A$1:$A$106,$J57))</f>
      </c>
      <c r="B57" s="26" t="str">
        <f>IF($J57="","",INDEX('Transactions'!$B$1:$B$106,$J57))</f>
      </c>
      <c r="C57" s="2" t="str">
        <f>IF($J57="","",INDEX('Transactions'!$K$1:$K$106,$J57))</f>
      </c>
      <c r="D57" s="2" t="str">
        <f>IF($J57="","",INDEX('Transactions'!$D$1:$D$106,$J57))</f>
      </c>
      <c r="E57" s="2" t="str">
        <f>IF($J57="","",INDEX('Transactions'!$E$1:$E$106,$J57))</f>
      </c>
      <c r="F57" s="2" t="str">
        <f>IF($J57="","",INDEX('Transactions'!$I$1:$I$106,$J57))</f>
      </c>
      <c r="G57" s="2" t="str">
        <f>IF($J57="","",INDEX('Transactions'!$F$1:$F$106,$J57))</f>
      </c>
      <c r="H57" s="2" t="str">
        <f>IF($J57="","",INDEX('Transactions'!$G$1:$G$106,$J57))</f>
      </c>
      <c r="I57" s="2" t="str">
        <f>IF($J57="","",INDEX('Transactions'!$J$1:$J$106,$J57))</f>
      </c>
      <c r="J57" s="2" t="str">
        <f>IF(OR($C$4="",$F$4&gt;$I$4),"",IFERROR(MATCH(51,'Transactions'!$M$7:$M$106,0)+6,""))</f>
      </c>
    </row>
    <row r="58" ht="24" customHeight="1">
      <c r="A58" s="2" t="str">
        <f>IF($J58="","",INDEX('Transactions'!$A$1:$A$106,$J58))</f>
      </c>
      <c r="B58" s="26" t="str">
        <f>IF($J58="","",INDEX('Transactions'!$B$1:$B$106,$J58))</f>
      </c>
      <c r="C58" s="2" t="str">
        <f>IF($J58="","",INDEX('Transactions'!$K$1:$K$106,$J58))</f>
      </c>
      <c r="D58" s="2" t="str">
        <f>IF($J58="","",INDEX('Transactions'!$D$1:$D$106,$J58))</f>
      </c>
      <c r="E58" s="2" t="str">
        <f>IF($J58="","",INDEX('Transactions'!$E$1:$E$106,$J58))</f>
      </c>
      <c r="F58" s="2" t="str">
        <f>IF($J58="","",INDEX('Transactions'!$I$1:$I$106,$J58))</f>
      </c>
      <c r="G58" s="2" t="str">
        <f>IF($J58="","",INDEX('Transactions'!$F$1:$F$106,$J58))</f>
      </c>
      <c r="H58" s="2" t="str">
        <f>IF($J58="","",INDEX('Transactions'!$G$1:$G$106,$J58))</f>
      </c>
      <c r="I58" s="2" t="str">
        <f>IF($J58="","",INDEX('Transactions'!$J$1:$J$106,$J58))</f>
      </c>
      <c r="J58" s="2" t="str">
        <f>IF(OR($C$4="",$F$4&gt;$I$4),"",IFERROR(MATCH(52,'Transactions'!$M$7:$M$106,0)+6,""))</f>
      </c>
    </row>
    <row r="59" ht="24" customHeight="1">
      <c r="A59" s="2" t="str">
        <f>IF($J59="","",INDEX('Transactions'!$A$1:$A$106,$J59))</f>
      </c>
      <c r="B59" s="26" t="str">
        <f>IF($J59="","",INDEX('Transactions'!$B$1:$B$106,$J59))</f>
      </c>
      <c r="C59" s="2" t="str">
        <f>IF($J59="","",INDEX('Transactions'!$K$1:$K$106,$J59))</f>
      </c>
      <c r="D59" s="2" t="str">
        <f>IF($J59="","",INDEX('Transactions'!$D$1:$D$106,$J59))</f>
      </c>
      <c r="E59" s="2" t="str">
        <f>IF($J59="","",INDEX('Transactions'!$E$1:$E$106,$J59))</f>
      </c>
      <c r="F59" s="2" t="str">
        <f>IF($J59="","",INDEX('Transactions'!$I$1:$I$106,$J59))</f>
      </c>
      <c r="G59" s="2" t="str">
        <f>IF($J59="","",INDEX('Transactions'!$F$1:$F$106,$J59))</f>
      </c>
      <c r="H59" s="2" t="str">
        <f>IF($J59="","",INDEX('Transactions'!$G$1:$G$106,$J59))</f>
      </c>
      <c r="I59" s="2" t="str">
        <f>IF($J59="","",INDEX('Transactions'!$J$1:$J$106,$J59))</f>
      </c>
      <c r="J59" s="2" t="str">
        <f>IF(OR($C$4="",$F$4&gt;$I$4),"",IFERROR(MATCH(53,'Transactions'!$M$7:$M$106,0)+6,""))</f>
      </c>
    </row>
    <row r="60" ht="24" customHeight="1">
      <c r="A60" s="2" t="str">
        <f>IF($J60="","",INDEX('Transactions'!$A$1:$A$106,$J60))</f>
      </c>
      <c r="B60" s="26" t="str">
        <f>IF($J60="","",INDEX('Transactions'!$B$1:$B$106,$J60))</f>
      </c>
      <c r="C60" s="2" t="str">
        <f>IF($J60="","",INDEX('Transactions'!$K$1:$K$106,$J60))</f>
      </c>
      <c r="D60" s="2" t="str">
        <f>IF($J60="","",INDEX('Transactions'!$D$1:$D$106,$J60))</f>
      </c>
      <c r="E60" s="2" t="str">
        <f>IF($J60="","",INDEX('Transactions'!$E$1:$E$106,$J60))</f>
      </c>
      <c r="F60" s="2" t="str">
        <f>IF($J60="","",INDEX('Transactions'!$I$1:$I$106,$J60))</f>
      </c>
      <c r="G60" s="2" t="str">
        <f>IF($J60="","",INDEX('Transactions'!$F$1:$F$106,$J60))</f>
      </c>
      <c r="H60" s="2" t="str">
        <f>IF($J60="","",INDEX('Transactions'!$G$1:$G$106,$J60))</f>
      </c>
      <c r="I60" s="2" t="str">
        <f>IF($J60="","",INDEX('Transactions'!$J$1:$J$106,$J60))</f>
      </c>
      <c r="J60" s="2" t="str">
        <f>IF(OR($C$4="",$F$4&gt;$I$4),"",IFERROR(MATCH(54,'Transactions'!$M$7:$M$106,0)+6,""))</f>
      </c>
    </row>
    <row r="61" ht="24" customHeight="1">
      <c r="A61" s="2" t="str">
        <f>IF($J61="","",INDEX('Transactions'!$A$1:$A$106,$J61))</f>
      </c>
      <c r="B61" s="26" t="str">
        <f>IF($J61="","",INDEX('Transactions'!$B$1:$B$106,$J61))</f>
      </c>
      <c r="C61" s="2" t="str">
        <f>IF($J61="","",INDEX('Transactions'!$K$1:$K$106,$J61))</f>
      </c>
      <c r="D61" s="2" t="str">
        <f>IF($J61="","",INDEX('Transactions'!$D$1:$D$106,$J61))</f>
      </c>
      <c r="E61" s="2" t="str">
        <f>IF($J61="","",INDEX('Transactions'!$E$1:$E$106,$J61))</f>
      </c>
      <c r="F61" s="2" t="str">
        <f>IF($J61="","",INDEX('Transactions'!$I$1:$I$106,$J61))</f>
      </c>
      <c r="G61" s="2" t="str">
        <f>IF($J61="","",INDEX('Transactions'!$F$1:$F$106,$J61))</f>
      </c>
      <c r="H61" s="2" t="str">
        <f>IF($J61="","",INDEX('Transactions'!$G$1:$G$106,$J61))</f>
      </c>
      <c r="I61" s="2" t="str">
        <f>IF($J61="","",INDEX('Transactions'!$J$1:$J$106,$J61))</f>
      </c>
      <c r="J61" s="2" t="str">
        <f>IF(OR($C$4="",$F$4&gt;$I$4),"",IFERROR(MATCH(55,'Transactions'!$M$7:$M$106,0)+6,""))</f>
      </c>
    </row>
    <row r="62" ht="24" customHeight="1">
      <c r="A62" s="2" t="str">
        <f>IF($J62="","",INDEX('Transactions'!$A$1:$A$106,$J62))</f>
      </c>
      <c r="B62" s="26" t="str">
        <f>IF($J62="","",INDEX('Transactions'!$B$1:$B$106,$J62))</f>
      </c>
      <c r="C62" s="2" t="str">
        <f>IF($J62="","",INDEX('Transactions'!$K$1:$K$106,$J62))</f>
      </c>
      <c r="D62" s="2" t="str">
        <f>IF($J62="","",INDEX('Transactions'!$D$1:$D$106,$J62))</f>
      </c>
      <c r="E62" s="2" t="str">
        <f>IF($J62="","",INDEX('Transactions'!$E$1:$E$106,$J62))</f>
      </c>
      <c r="F62" s="2" t="str">
        <f>IF($J62="","",INDEX('Transactions'!$I$1:$I$106,$J62))</f>
      </c>
      <c r="G62" s="2" t="str">
        <f>IF($J62="","",INDEX('Transactions'!$F$1:$F$106,$J62))</f>
      </c>
      <c r="H62" s="2" t="str">
        <f>IF($J62="","",INDEX('Transactions'!$G$1:$G$106,$J62))</f>
      </c>
      <c r="I62" s="2" t="str">
        <f>IF($J62="","",INDEX('Transactions'!$J$1:$J$106,$J62))</f>
      </c>
      <c r="J62" s="2" t="str">
        <f>IF(OR($C$4="",$F$4&gt;$I$4),"",IFERROR(MATCH(56,'Transactions'!$M$7:$M$106,0)+6,""))</f>
      </c>
    </row>
    <row r="63" ht="24" customHeight="1">
      <c r="A63" s="2" t="str">
        <f>IF($J63="","",INDEX('Transactions'!$A$1:$A$106,$J63))</f>
      </c>
      <c r="B63" s="26" t="str">
        <f>IF($J63="","",INDEX('Transactions'!$B$1:$B$106,$J63))</f>
      </c>
      <c r="C63" s="2" t="str">
        <f>IF($J63="","",INDEX('Transactions'!$K$1:$K$106,$J63))</f>
      </c>
      <c r="D63" s="2" t="str">
        <f>IF($J63="","",INDEX('Transactions'!$D$1:$D$106,$J63))</f>
      </c>
      <c r="E63" s="2" t="str">
        <f>IF($J63="","",INDEX('Transactions'!$E$1:$E$106,$J63))</f>
      </c>
      <c r="F63" s="2" t="str">
        <f>IF($J63="","",INDEX('Transactions'!$I$1:$I$106,$J63))</f>
      </c>
      <c r="G63" s="2" t="str">
        <f>IF($J63="","",INDEX('Transactions'!$F$1:$F$106,$J63))</f>
      </c>
      <c r="H63" s="2" t="str">
        <f>IF($J63="","",INDEX('Transactions'!$G$1:$G$106,$J63))</f>
      </c>
      <c r="I63" s="2" t="str">
        <f>IF($J63="","",INDEX('Transactions'!$J$1:$J$106,$J63))</f>
      </c>
      <c r="J63" s="2" t="str">
        <f>IF(OR($C$4="",$F$4&gt;$I$4),"",IFERROR(MATCH(57,'Transactions'!$M$7:$M$106,0)+6,""))</f>
      </c>
    </row>
    <row r="64" ht="24" customHeight="1">
      <c r="A64" s="2" t="str">
        <f>IF($J64="","",INDEX('Transactions'!$A$1:$A$106,$J64))</f>
      </c>
      <c r="B64" s="26" t="str">
        <f>IF($J64="","",INDEX('Transactions'!$B$1:$B$106,$J64))</f>
      </c>
      <c r="C64" s="2" t="str">
        <f>IF($J64="","",INDEX('Transactions'!$K$1:$K$106,$J64))</f>
      </c>
      <c r="D64" s="2" t="str">
        <f>IF($J64="","",INDEX('Transactions'!$D$1:$D$106,$J64))</f>
      </c>
      <c r="E64" s="2" t="str">
        <f>IF($J64="","",INDEX('Transactions'!$E$1:$E$106,$J64))</f>
      </c>
      <c r="F64" s="2" t="str">
        <f>IF($J64="","",INDEX('Transactions'!$I$1:$I$106,$J64))</f>
      </c>
      <c r="G64" s="2" t="str">
        <f>IF($J64="","",INDEX('Transactions'!$F$1:$F$106,$J64))</f>
      </c>
      <c r="H64" s="2" t="str">
        <f>IF($J64="","",INDEX('Transactions'!$G$1:$G$106,$J64))</f>
      </c>
      <c r="I64" s="2" t="str">
        <f>IF($J64="","",INDEX('Transactions'!$J$1:$J$106,$J64))</f>
      </c>
      <c r="J64" s="2" t="str">
        <f>IF(OR($C$4="",$F$4&gt;$I$4),"",IFERROR(MATCH(58,'Transactions'!$M$7:$M$106,0)+6,""))</f>
      </c>
    </row>
    <row r="65" ht="24" customHeight="1">
      <c r="A65" s="2" t="str">
        <f>IF($J65="","",INDEX('Transactions'!$A$1:$A$106,$J65))</f>
      </c>
      <c r="B65" s="26" t="str">
        <f>IF($J65="","",INDEX('Transactions'!$B$1:$B$106,$J65))</f>
      </c>
      <c r="C65" s="2" t="str">
        <f>IF($J65="","",INDEX('Transactions'!$K$1:$K$106,$J65))</f>
      </c>
      <c r="D65" s="2" t="str">
        <f>IF($J65="","",INDEX('Transactions'!$D$1:$D$106,$J65))</f>
      </c>
      <c r="E65" s="2" t="str">
        <f>IF($J65="","",INDEX('Transactions'!$E$1:$E$106,$J65))</f>
      </c>
      <c r="F65" s="2" t="str">
        <f>IF($J65="","",INDEX('Transactions'!$I$1:$I$106,$J65))</f>
      </c>
      <c r="G65" s="2" t="str">
        <f>IF($J65="","",INDEX('Transactions'!$F$1:$F$106,$J65))</f>
      </c>
      <c r="H65" s="2" t="str">
        <f>IF($J65="","",INDEX('Transactions'!$G$1:$G$106,$J65))</f>
      </c>
      <c r="I65" s="2" t="str">
        <f>IF($J65="","",INDEX('Transactions'!$J$1:$J$106,$J65))</f>
      </c>
      <c r="J65" s="2" t="str">
        <f>IF(OR($C$4="",$F$4&gt;$I$4),"",IFERROR(MATCH(59,'Transactions'!$M$7:$M$106,0)+6,""))</f>
      </c>
    </row>
    <row r="66" ht="24" customHeight="1">
      <c r="A66" s="2" t="str">
        <f>IF($J66="","",INDEX('Transactions'!$A$1:$A$106,$J66))</f>
      </c>
      <c r="B66" s="26" t="str">
        <f>IF($J66="","",INDEX('Transactions'!$B$1:$B$106,$J66))</f>
      </c>
      <c r="C66" s="2" t="str">
        <f>IF($J66="","",INDEX('Transactions'!$K$1:$K$106,$J66))</f>
      </c>
      <c r="D66" s="2" t="str">
        <f>IF($J66="","",INDEX('Transactions'!$D$1:$D$106,$J66))</f>
      </c>
      <c r="E66" s="2" t="str">
        <f>IF($J66="","",INDEX('Transactions'!$E$1:$E$106,$J66))</f>
      </c>
      <c r="F66" s="2" t="str">
        <f>IF($J66="","",INDEX('Transactions'!$I$1:$I$106,$J66))</f>
      </c>
      <c r="G66" s="2" t="str">
        <f>IF($J66="","",INDEX('Transactions'!$F$1:$F$106,$J66))</f>
      </c>
      <c r="H66" s="2" t="str">
        <f>IF($J66="","",INDEX('Transactions'!$G$1:$G$106,$J66))</f>
      </c>
      <c r="I66" s="2" t="str">
        <f>IF($J66="","",INDEX('Transactions'!$J$1:$J$106,$J66))</f>
      </c>
      <c r="J66" s="2" t="str">
        <f>IF(OR($C$4="",$F$4&gt;$I$4),"",IFERROR(MATCH(60,'Transactions'!$M$7:$M$106,0)+6,""))</f>
      </c>
    </row>
    <row r="67" ht="24" customHeight="1">
      <c r="A67" s="2" t="str">
        <f>IF($J67="","",INDEX('Transactions'!$A$1:$A$106,$J67))</f>
      </c>
      <c r="B67" s="26" t="str">
        <f>IF($J67="","",INDEX('Transactions'!$B$1:$B$106,$J67))</f>
      </c>
      <c r="C67" s="2" t="str">
        <f>IF($J67="","",INDEX('Transactions'!$K$1:$K$106,$J67))</f>
      </c>
      <c r="D67" s="2" t="str">
        <f>IF($J67="","",INDEX('Transactions'!$D$1:$D$106,$J67))</f>
      </c>
      <c r="E67" s="2" t="str">
        <f>IF($J67="","",INDEX('Transactions'!$E$1:$E$106,$J67))</f>
      </c>
      <c r="F67" s="2" t="str">
        <f>IF($J67="","",INDEX('Transactions'!$I$1:$I$106,$J67))</f>
      </c>
      <c r="G67" s="2" t="str">
        <f>IF($J67="","",INDEX('Transactions'!$F$1:$F$106,$J67))</f>
      </c>
      <c r="H67" s="2" t="str">
        <f>IF($J67="","",INDEX('Transactions'!$G$1:$G$106,$J67))</f>
      </c>
      <c r="I67" s="2" t="str">
        <f>IF($J67="","",INDEX('Transactions'!$J$1:$J$106,$J67))</f>
      </c>
      <c r="J67" s="2" t="str">
        <f>IF(OR($C$4="",$F$4&gt;$I$4),"",IFERROR(MATCH(61,'Transactions'!$M$7:$M$106,0)+6,""))</f>
      </c>
    </row>
    <row r="68" ht="24" customHeight="1">
      <c r="A68" s="2" t="str">
        <f>IF($J68="","",INDEX('Transactions'!$A$1:$A$106,$J68))</f>
      </c>
      <c r="B68" s="26" t="str">
        <f>IF($J68="","",INDEX('Transactions'!$B$1:$B$106,$J68))</f>
      </c>
      <c r="C68" s="2" t="str">
        <f>IF($J68="","",INDEX('Transactions'!$K$1:$K$106,$J68))</f>
      </c>
      <c r="D68" s="2" t="str">
        <f>IF($J68="","",INDEX('Transactions'!$D$1:$D$106,$J68))</f>
      </c>
      <c r="E68" s="2" t="str">
        <f>IF($J68="","",INDEX('Transactions'!$E$1:$E$106,$J68))</f>
      </c>
      <c r="F68" s="2" t="str">
        <f>IF($J68="","",INDEX('Transactions'!$I$1:$I$106,$J68))</f>
      </c>
      <c r="G68" s="2" t="str">
        <f>IF($J68="","",INDEX('Transactions'!$F$1:$F$106,$J68))</f>
      </c>
      <c r="H68" s="2" t="str">
        <f>IF($J68="","",INDEX('Transactions'!$G$1:$G$106,$J68))</f>
      </c>
      <c r="I68" s="2" t="str">
        <f>IF($J68="","",INDEX('Transactions'!$J$1:$J$106,$J68))</f>
      </c>
      <c r="J68" s="2" t="str">
        <f>IF(OR($C$4="",$F$4&gt;$I$4),"",IFERROR(MATCH(62,'Transactions'!$M$7:$M$106,0)+6,""))</f>
      </c>
    </row>
    <row r="69" ht="24" customHeight="1">
      <c r="A69" s="2" t="str">
        <f>IF($J69="","",INDEX('Transactions'!$A$1:$A$106,$J69))</f>
      </c>
      <c r="B69" s="26" t="str">
        <f>IF($J69="","",INDEX('Transactions'!$B$1:$B$106,$J69))</f>
      </c>
      <c r="C69" s="2" t="str">
        <f>IF($J69="","",INDEX('Transactions'!$K$1:$K$106,$J69))</f>
      </c>
      <c r="D69" s="2" t="str">
        <f>IF($J69="","",INDEX('Transactions'!$D$1:$D$106,$J69))</f>
      </c>
      <c r="E69" s="2" t="str">
        <f>IF($J69="","",INDEX('Transactions'!$E$1:$E$106,$J69))</f>
      </c>
      <c r="F69" s="2" t="str">
        <f>IF($J69="","",INDEX('Transactions'!$I$1:$I$106,$J69))</f>
      </c>
      <c r="G69" s="2" t="str">
        <f>IF($J69="","",INDEX('Transactions'!$F$1:$F$106,$J69))</f>
      </c>
      <c r="H69" s="2" t="str">
        <f>IF($J69="","",INDEX('Transactions'!$G$1:$G$106,$J69))</f>
      </c>
      <c r="I69" s="2" t="str">
        <f>IF($J69="","",INDEX('Transactions'!$J$1:$J$106,$J69))</f>
      </c>
      <c r="J69" s="2" t="str">
        <f>IF(OR($C$4="",$F$4&gt;$I$4),"",IFERROR(MATCH(63,'Transactions'!$M$7:$M$106,0)+6,""))</f>
      </c>
    </row>
    <row r="70" ht="24" customHeight="1">
      <c r="A70" s="2" t="str">
        <f>IF($J70="","",INDEX('Transactions'!$A$1:$A$106,$J70))</f>
      </c>
      <c r="B70" s="26" t="str">
        <f>IF($J70="","",INDEX('Transactions'!$B$1:$B$106,$J70))</f>
      </c>
      <c r="C70" s="2" t="str">
        <f>IF($J70="","",INDEX('Transactions'!$K$1:$K$106,$J70))</f>
      </c>
      <c r="D70" s="2" t="str">
        <f>IF($J70="","",INDEX('Transactions'!$D$1:$D$106,$J70))</f>
      </c>
      <c r="E70" s="2" t="str">
        <f>IF($J70="","",INDEX('Transactions'!$E$1:$E$106,$J70))</f>
      </c>
      <c r="F70" s="2" t="str">
        <f>IF($J70="","",INDEX('Transactions'!$I$1:$I$106,$J70))</f>
      </c>
      <c r="G70" s="2" t="str">
        <f>IF($J70="","",INDEX('Transactions'!$F$1:$F$106,$J70))</f>
      </c>
      <c r="H70" s="2" t="str">
        <f>IF($J70="","",INDEX('Transactions'!$G$1:$G$106,$J70))</f>
      </c>
      <c r="I70" s="2" t="str">
        <f>IF($J70="","",INDEX('Transactions'!$J$1:$J$106,$J70))</f>
      </c>
      <c r="J70" s="2" t="str">
        <f>IF(OR($C$4="",$F$4&gt;$I$4),"",IFERROR(MATCH(64,'Transactions'!$M$7:$M$106,0)+6,""))</f>
      </c>
    </row>
    <row r="71" ht="24" customHeight="1">
      <c r="A71" s="2" t="str">
        <f>IF($J71="","",INDEX('Transactions'!$A$1:$A$106,$J71))</f>
      </c>
      <c r="B71" s="26" t="str">
        <f>IF($J71="","",INDEX('Transactions'!$B$1:$B$106,$J71))</f>
      </c>
      <c r="C71" s="2" t="str">
        <f>IF($J71="","",INDEX('Transactions'!$K$1:$K$106,$J71))</f>
      </c>
      <c r="D71" s="2" t="str">
        <f>IF($J71="","",INDEX('Transactions'!$D$1:$D$106,$J71))</f>
      </c>
      <c r="E71" s="2" t="str">
        <f>IF($J71="","",INDEX('Transactions'!$E$1:$E$106,$J71))</f>
      </c>
      <c r="F71" s="2" t="str">
        <f>IF($J71="","",INDEX('Transactions'!$I$1:$I$106,$J71))</f>
      </c>
      <c r="G71" s="2" t="str">
        <f>IF($J71="","",INDEX('Transactions'!$F$1:$F$106,$J71))</f>
      </c>
      <c r="H71" s="2" t="str">
        <f>IF($J71="","",INDEX('Transactions'!$G$1:$G$106,$J71))</f>
      </c>
      <c r="I71" s="2" t="str">
        <f>IF($J71="","",INDEX('Transactions'!$J$1:$J$106,$J71))</f>
      </c>
      <c r="J71" s="2" t="str">
        <f>IF(OR($C$4="",$F$4&gt;$I$4),"",IFERROR(MATCH(65,'Transactions'!$M$7:$M$106,0)+6,""))</f>
      </c>
    </row>
    <row r="72" ht="24" customHeight="1">
      <c r="A72" s="2" t="str">
        <f>IF($J72="","",INDEX('Transactions'!$A$1:$A$106,$J72))</f>
      </c>
      <c r="B72" s="26" t="str">
        <f>IF($J72="","",INDEX('Transactions'!$B$1:$B$106,$J72))</f>
      </c>
      <c r="C72" s="2" t="str">
        <f>IF($J72="","",INDEX('Transactions'!$K$1:$K$106,$J72))</f>
      </c>
      <c r="D72" s="2" t="str">
        <f>IF($J72="","",INDEX('Transactions'!$D$1:$D$106,$J72))</f>
      </c>
      <c r="E72" s="2" t="str">
        <f>IF($J72="","",INDEX('Transactions'!$E$1:$E$106,$J72))</f>
      </c>
      <c r="F72" s="2" t="str">
        <f>IF($J72="","",INDEX('Transactions'!$I$1:$I$106,$J72))</f>
      </c>
      <c r="G72" s="2" t="str">
        <f>IF($J72="","",INDEX('Transactions'!$F$1:$F$106,$J72))</f>
      </c>
      <c r="H72" s="2" t="str">
        <f>IF($J72="","",INDEX('Transactions'!$G$1:$G$106,$J72))</f>
      </c>
      <c r="I72" s="2" t="str">
        <f>IF($J72="","",INDEX('Transactions'!$J$1:$J$106,$J72))</f>
      </c>
      <c r="J72" s="2" t="str">
        <f>IF(OR($C$4="",$F$4&gt;$I$4),"",IFERROR(MATCH(66,'Transactions'!$M$7:$M$106,0)+6,""))</f>
      </c>
    </row>
    <row r="73" ht="24" customHeight="1">
      <c r="A73" s="2" t="str">
        <f>IF($J73="","",INDEX('Transactions'!$A$1:$A$106,$J73))</f>
      </c>
      <c r="B73" s="26" t="str">
        <f>IF($J73="","",INDEX('Transactions'!$B$1:$B$106,$J73))</f>
      </c>
      <c r="C73" s="2" t="str">
        <f>IF($J73="","",INDEX('Transactions'!$K$1:$K$106,$J73))</f>
      </c>
      <c r="D73" s="2" t="str">
        <f>IF($J73="","",INDEX('Transactions'!$D$1:$D$106,$J73))</f>
      </c>
      <c r="E73" s="2" t="str">
        <f>IF($J73="","",INDEX('Transactions'!$E$1:$E$106,$J73))</f>
      </c>
      <c r="F73" s="2" t="str">
        <f>IF($J73="","",INDEX('Transactions'!$I$1:$I$106,$J73))</f>
      </c>
      <c r="G73" s="2" t="str">
        <f>IF($J73="","",INDEX('Transactions'!$F$1:$F$106,$J73))</f>
      </c>
      <c r="H73" s="2" t="str">
        <f>IF($J73="","",INDEX('Transactions'!$G$1:$G$106,$J73))</f>
      </c>
      <c r="I73" s="2" t="str">
        <f>IF($J73="","",INDEX('Transactions'!$J$1:$J$106,$J73))</f>
      </c>
      <c r="J73" s="2" t="str">
        <f>IF(OR($C$4="",$F$4&gt;$I$4),"",IFERROR(MATCH(67,'Transactions'!$M$7:$M$106,0)+6,""))</f>
      </c>
    </row>
    <row r="74" ht="24" customHeight="1">
      <c r="A74" s="2" t="str">
        <f>IF($J74="","",INDEX('Transactions'!$A$1:$A$106,$J74))</f>
      </c>
      <c r="B74" s="26" t="str">
        <f>IF($J74="","",INDEX('Transactions'!$B$1:$B$106,$J74))</f>
      </c>
      <c r="C74" s="2" t="str">
        <f>IF($J74="","",INDEX('Transactions'!$K$1:$K$106,$J74))</f>
      </c>
      <c r="D74" s="2" t="str">
        <f>IF($J74="","",INDEX('Transactions'!$D$1:$D$106,$J74))</f>
      </c>
      <c r="E74" s="2" t="str">
        <f>IF($J74="","",INDEX('Transactions'!$E$1:$E$106,$J74))</f>
      </c>
      <c r="F74" s="2" t="str">
        <f>IF($J74="","",INDEX('Transactions'!$I$1:$I$106,$J74))</f>
      </c>
      <c r="G74" s="2" t="str">
        <f>IF($J74="","",INDEX('Transactions'!$F$1:$F$106,$J74))</f>
      </c>
      <c r="H74" s="2" t="str">
        <f>IF($J74="","",INDEX('Transactions'!$G$1:$G$106,$J74))</f>
      </c>
      <c r="I74" s="2" t="str">
        <f>IF($J74="","",INDEX('Transactions'!$J$1:$J$106,$J74))</f>
      </c>
      <c r="J74" s="2" t="str">
        <f>IF(OR($C$4="",$F$4&gt;$I$4),"",IFERROR(MATCH(68,'Transactions'!$M$7:$M$106,0)+6,""))</f>
      </c>
    </row>
    <row r="75" ht="24" customHeight="1">
      <c r="A75" s="2" t="str">
        <f>IF($J75="","",INDEX('Transactions'!$A$1:$A$106,$J75))</f>
      </c>
      <c r="B75" s="26" t="str">
        <f>IF($J75="","",INDEX('Transactions'!$B$1:$B$106,$J75))</f>
      </c>
      <c r="C75" s="2" t="str">
        <f>IF($J75="","",INDEX('Transactions'!$K$1:$K$106,$J75))</f>
      </c>
      <c r="D75" s="2" t="str">
        <f>IF($J75="","",INDEX('Transactions'!$D$1:$D$106,$J75))</f>
      </c>
      <c r="E75" s="2" t="str">
        <f>IF($J75="","",INDEX('Transactions'!$E$1:$E$106,$J75))</f>
      </c>
      <c r="F75" s="2" t="str">
        <f>IF($J75="","",INDEX('Transactions'!$I$1:$I$106,$J75))</f>
      </c>
      <c r="G75" s="2" t="str">
        <f>IF($J75="","",INDEX('Transactions'!$F$1:$F$106,$J75))</f>
      </c>
      <c r="H75" s="2" t="str">
        <f>IF($J75="","",INDEX('Transactions'!$G$1:$G$106,$J75))</f>
      </c>
      <c r="I75" s="2" t="str">
        <f>IF($J75="","",INDEX('Transactions'!$J$1:$J$106,$J75))</f>
      </c>
      <c r="J75" s="2" t="str">
        <f>IF(OR($C$4="",$F$4&gt;$I$4),"",IFERROR(MATCH(69,'Transactions'!$M$7:$M$106,0)+6,""))</f>
      </c>
    </row>
    <row r="76" ht="24" customHeight="1">
      <c r="A76" s="2" t="str">
        <f>IF($J76="","",INDEX('Transactions'!$A$1:$A$106,$J76))</f>
      </c>
      <c r="B76" s="26" t="str">
        <f>IF($J76="","",INDEX('Transactions'!$B$1:$B$106,$J76))</f>
      </c>
      <c r="C76" s="2" t="str">
        <f>IF($J76="","",INDEX('Transactions'!$K$1:$K$106,$J76))</f>
      </c>
      <c r="D76" s="2" t="str">
        <f>IF($J76="","",INDEX('Transactions'!$D$1:$D$106,$J76))</f>
      </c>
      <c r="E76" s="2" t="str">
        <f>IF($J76="","",INDEX('Transactions'!$E$1:$E$106,$J76))</f>
      </c>
      <c r="F76" s="2" t="str">
        <f>IF($J76="","",INDEX('Transactions'!$I$1:$I$106,$J76))</f>
      </c>
      <c r="G76" s="2" t="str">
        <f>IF($J76="","",INDEX('Transactions'!$F$1:$F$106,$J76))</f>
      </c>
      <c r="H76" s="2" t="str">
        <f>IF($J76="","",INDEX('Transactions'!$G$1:$G$106,$J76))</f>
      </c>
      <c r="I76" s="2" t="str">
        <f>IF($J76="","",INDEX('Transactions'!$J$1:$J$106,$J76))</f>
      </c>
      <c r="J76" s="2" t="str">
        <f>IF(OR($C$4="",$F$4&gt;$I$4),"",IFERROR(MATCH(70,'Transactions'!$M$7:$M$106,0)+6,""))</f>
      </c>
    </row>
    <row r="77" ht="24" customHeight="1">
      <c r="A77" s="2" t="str">
        <f>IF($J77="","",INDEX('Transactions'!$A$1:$A$106,$J77))</f>
      </c>
      <c r="B77" s="26" t="str">
        <f>IF($J77="","",INDEX('Transactions'!$B$1:$B$106,$J77))</f>
      </c>
      <c r="C77" s="2" t="str">
        <f>IF($J77="","",INDEX('Transactions'!$K$1:$K$106,$J77))</f>
      </c>
      <c r="D77" s="2" t="str">
        <f>IF($J77="","",INDEX('Transactions'!$D$1:$D$106,$J77))</f>
      </c>
      <c r="E77" s="2" t="str">
        <f>IF($J77="","",INDEX('Transactions'!$E$1:$E$106,$J77))</f>
      </c>
      <c r="F77" s="2" t="str">
        <f>IF($J77="","",INDEX('Transactions'!$I$1:$I$106,$J77))</f>
      </c>
      <c r="G77" s="2" t="str">
        <f>IF($J77="","",INDEX('Transactions'!$F$1:$F$106,$J77))</f>
      </c>
      <c r="H77" s="2" t="str">
        <f>IF($J77="","",INDEX('Transactions'!$G$1:$G$106,$J77))</f>
      </c>
      <c r="I77" s="2" t="str">
        <f>IF($J77="","",INDEX('Transactions'!$J$1:$J$106,$J77))</f>
      </c>
      <c r="J77" s="2" t="str">
        <f>IF(OR($C$4="",$F$4&gt;$I$4),"",IFERROR(MATCH(71,'Transactions'!$M$7:$M$106,0)+6,""))</f>
      </c>
    </row>
    <row r="78" ht="24" customHeight="1">
      <c r="A78" s="2" t="str">
        <f>IF($J78="","",INDEX('Transactions'!$A$1:$A$106,$J78))</f>
      </c>
      <c r="B78" s="26" t="str">
        <f>IF($J78="","",INDEX('Transactions'!$B$1:$B$106,$J78))</f>
      </c>
      <c r="C78" s="2" t="str">
        <f>IF($J78="","",INDEX('Transactions'!$K$1:$K$106,$J78))</f>
      </c>
      <c r="D78" s="2" t="str">
        <f>IF($J78="","",INDEX('Transactions'!$D$1:$D$106,$J78))</f>
      </c>
      <c r="E78" s="2" t="str">
        <f>IF($J78="","",INDEX('Transactions'!$E$1:$E$106,$J78))</f>
      </c>
      <c r="F78" s="2" t="str">
        <f>IF($J78="","",INDEX('Transactions'!$I$1:$I$106,$J78))</f>
      </c>
      <c r="G78" s="2" t="str">
        <f>IF($J78="","",INDEX('Transactions'!$F$1:$F$106,$J78))</f>
      </c>
      <c r="H78" s="2" t="str">
        <f>IF($J78="","",INDEX('Transactions'!$G$1:$G$106,$J78))</f>
      </c>
      <c r="I78" s="2" t="str">
        <f>IF($J78="","",INDEX('Transactions'!$J$1:$J$106,$J78))</f>
      </c>
      <c r="J78" s="2" t="str">
        <f>IF(OR($C$4="",$F$4&gt;$I$4),"",IFERROR(MATCH(72,'Transactions'!$M$7:$M$106,0)+6,""))</f>
      </c>
    </row>
    <row r="79" ht="24" customHeight="1">
      <c r="A79" s="2" t="str">
        <f>IF($J79="","",INDEX('Transactions'!$A$1:$A$106,$J79))</f>
      </c>
      <c r="B79" s="26" t="str">
        <f>IF($J79="","",INDEX('Transactions'!$B$1:$B$106,$J79))</f>
      </c>
      <c r="C79" s="2" t="str">
        <f>IF($J79="","",INDEX('Transactions'!$K$1:$K$106,$J79))</f>
      </c>
      <c r="D79" s="2" t="str">
        <f>IF($J79="","",INDEX('Transactions'!$D$1:$D$106,$J79))</f>
      </c>
      <c r="E79" s="2" t="str">
        <f>IF($J79="","",INDEX('Transactions'!$E$1:$E$106,$J79))</f>
      </c>
      <c r="F79" s="2" t="str">
        <f>IF($J79="","",INDEX('Transactions'!$I$1:$I$106,$J79))</f>
      </c>
      <c r="G79" s="2" t="str">
        <f>IF($J79="","",INDEX('Transactions'!$F$1:$F$106,$J79))</f>
      </c>
      <c r="H79" s="2" t="str">
        <f>IF($J79="","",INDEX('Transactions'!$G$1:$G$106,$J79))</f>
      </c>
      <c r="I79" s="2" t="str">
        <f>IF($J79="","",INDEX('Transactions'!$J$1:$J$106,$J79))</f>
      </c>
      <c r="J79" s="2" t="str">
        <f>IF(OR($C$4="",$F$4&gt;$I$4),"",IFERROR(MATCH(73,'Transactions'!$M$7:$M$106,0)+6,""))</f>
      </c>
    </row>
    <row r="80" ht="24" customHeight="1">
      <c r="A80" s="2" t="str">
        <f>IF($J80="","",INDEX('Transactions'!$A$1:$A$106,$J80))</f>
      </c>
      <c r="B80" s="26" t="str">
        <f>IF($J80="","",INDEX('Transactions'!$B$1:$B$106,$J80))</f>
      </c>
      <c r="C80" s="2" t="str">
        <f>IF($J80="","",INDEX('Transactions'!$K$1:$K$106,$J80))</f>
      </c>
      <c r="D80" s="2" t="str">
        <f>IF($J80="","",INDEX('Transactions'!$D$1:$D$106,$J80))</f>
      </c>
      <c r="E80" s="2" t="str">
        <f>IF($J80="","",INDEX('Transactions'!$E$1:$E$106,$J80))</f>
      </c>
      <c r="F80" s="2" t="str">
        <f>IF($J80="","",INDEX('Transactions'!$I$1:$I$106,$J80))</f>
      </c>
      <c r="G80" s="2" t="str">
        <f>IF($J80="","",INDEX('Transactions'!$F$1:$F$106,$J80))</f>
      </c>
      <c r="H80" s="2" t="str">
        <f>IF($J80="","",INDEX('Transactions'!$G$1:$G$106,$J80))</f>
      </c>
      <c r="I80" s="2" t="str">
        <f>IF($J80="","",INDEX('Transactions'!$J$1:$J$106,$J80))</f>
      </c>
      <c r="J80" s="2" t="str">
        <f>IF(OR($C$4="",$F$4&gt;$I$4),"",IFERROR(MATCH(74,'Transactions'!$M$7:$M$106,0)+6,""))</f>
      </c>
    </row>
    <row r="81" ht="24" customHeight="1">
      <c r="A81" s="2" t="str">
        <f>IF($J81="","",INDEX('Transactions'!$A$1:$A$106,$J81))</f>
      </c>
      <c r="B81" s="26" t="str">
        <f>IF($J81="","",INDEX('Transactions'!$B$1:$B$106,$J81))</f>
      </c>
      <c r="C81" s="2" t="str">
        <f>IF($J81="","",INDEX('Transactions'!$K$1:$K$106,$J81))</f>
      </c>
      <c r="D81" s="2" t="str">
        <f>IF($J81="","",INDEX('Transactions'!$D$1:$D$106,$J81))</f>
      </c>
      <c r="E81" s="2" t="str">
        <f>IF($J81="","",INDEX('Transactions'!$E$1:$E$106,$J81))</f>
      </c>
      <c r="F81" s="2" t="str">
        <f>IF($J81="","",INDEX('Transactions'!$I$1:$I$106,$J81))</f>
      </c>
      <c r="G81" s="2" t="str">
        <f>IF($J81="","",INDEX('Transactions'!$F$1:$F$106,$J81))</f>
      </c>
      <c r="H81" s="2" t="str">
        <f>IF($J81="","",INDEX('Transactions'!$G$1:$G$106,$J81))</f>
      </c>
      <c r="I81" s="2" t="str">
        <f>IF($J81="","",INDEX('Transactions'!$J$1:$J$106,$J81))</f>
      </c>
      <c r="J81" s="2" t="str">
        <f>IF(OR($C$4="",$F$4&gt;$I$4),"",IFERROR(MATCH(75,'Transactions'!$M$7:$M$106,0)+6,""))</f>
      </c>
    </row>
    <row r="82" ht="24" customHeight="1">
      <c r="A82" s="2" t="str">
        <f>IF($J82="","",INDEX('Transactions'!$A$1:$A$106,$J82))</f>
      </c>
      <c r="B82" s="26" t="str">
        <f>IF($J82="","",INDEX('Transactions'!$B$1:$B$106,$J82))</f>
      </c>
      <c r="C82" s="2" t="str">
        <f>IF($J82="","",INDEX('Transactions'!$K$1:$K$106,$J82))</f>
      </c>
      <c r="D82" s="2" t="str">
        <f>IF($J82="","",INDEX('Transactions'!$D$1:$D$106,$J82))</f>
      </c>
      <c r="E82" s="2" t="str">
        <f>IF($J82="","",INDEX('Transactions'!$E$1:$E$106,$J82))</f>
      </c>
      <c r="F82" s="2" t="str">
        <f>IF($J82="","",INDEX('Transactions'!$I$1:$I$106,$J82))</f>
      </c>
      <c r="G82" s="2" t="str">
        <f>IF($J82="","",INDEX('Transactions'!$F$1:$F$106,$J82))</f>
      </c>
      <c r="H82" s="2" t="str">
        <f>IF($J82="","",INDEX('Transactions'!$G$1:$G$106,$J82))</f>
      </c>
      <c r="I82" s="2" t="str">
        <f>IF($J82="","",INDEX('Transactions'!$J$1:$J$106,$J82))</f>
      </c>
      <c r="J82" s="2" t="str">
        <f>IF(OR($C$4="",$F$4&gt;$I$4),"",IFERROR(MATCH(76,'Transactions'!$M$7:$M$106,0)+6,""))</f>
      </c>
    </row>
    <row r="83" ht="24" customHeight="1">
      <c r="A83" s="2" t="str">
        <f>IF($J83="","",INDEX('Transactions'!$A$1:$A$106,$J83))</f>
      </c>
      <c r="B83" s="26" t="str">
        <f>IF($J83="","",INDEX('Transactions'!$B$1:$B$106,$J83))</f>
      </c>
      <c r="C83" s="2" t="str">
        <f>IF($J83="","",INDEX('Transactions'!$K$1:$K$106,$J83))</f>
      </c>
      <c r="D83" s="2" t="str">
        <f>IF($J83="","",INDEX('Transactions'!$D$1:$D$106,$J83))</f>
      </c>
      <c r="E83" s="2" t="str">
        <f>IF($J83="","",INDEX('Transactions'!$E$1:$E$106,$J83))</f>
      </c>
      <c r="F83" s="2" t="str">
        <f>IF($J83="","",INDEX('Transactions'!$I$1:$I$106,$J83))</f>
      </c>
      <c r="G83" s="2" t="str">
        <f>IF($J83="","",INDEX('Transactions'!$F$1:$F$106,$J83))</f>
      </c>
      <c r="H83" s="2" t="str">
        <f>IF($J83="","",INDEX('Transactions'!$G$1:$G$106,$J83))</f>
      </c>
      <c r="I83" s="2" t="str">
        <f>IF($J83="","",INDEX('Transactions'!$J$1:$J$106,$J83))</f>
      </c>
      <c r="J83" s="2" t="str">
        <f>IF(OR($C$4="",$F$4&gt;$I$4),"",IFERROR(MATCH(77,'Transactions'!$M$7:$M$106,0)+6,""))</f>
      </c>
    </row>
    <row r="84" ht="24" customHeight="1">
      <c r="A84" s="2" t="str">
        <f>IF($J84="","",INDEX('Transactions'!$A$1:$A$106,$J84))</f>
      </c>
      <c r="B84" s="26" t="str">
        <f>IF($J84="","",INDEX('Transactions'!$B$1:$B$106,$J84))</f>
      </c>
      <c r="C84" s="2" t="str">
        <f>IF($J84="","",INDEX('Transactions'!$K$1:$K$106,$J84))</f>
      </c>
      <c r="D84" s="2" t="str">
        <f>IF($J84="","",INDEX('Transactions'!$D$1:$D$106,$J84))</f>
      </c>
      <c r="E84" s="2" t="str">
        <f>IF($J84="","",INDEX('Transactions'!$E$1:$E$106,$J84))</f>
      </c>
      <c r="F84" s="2" t="str">
        <f>IF($J84="","",INDEX('Transactions'!$I$1:$I$106,$J84))</f>
      </c>
      <c r="G84" s="2" t="str">
        <f>IF($J84="","",INDEX('Transactions'!$F$1:$F$106,$J84))</f>
      </c>
      <c r="H84" s="2" t="str">
        <f>IF($J84="","",INDEX('Transactions'!$G$1:$G$106,$J84))</f>
      </c>
      <c r="I84" s="2" t="str">
        <f>IF($J84="","",INDEX('Transactions'!$J$1:$J$106,$J84))</f>
      </c>
      <c r="J84" s="2" t="str">
        <f>IF(OR($C$4="",$F$4&gt;$I$4),"",IFERROR(MATCH(78,'Transactions'!$M$7:$M$106,0)+6,""))</f>
      </c>
    </row>
    <row r="85" ht="24" customHeight="1">
      <c r="A85" s="2" t="str">
        <f>IF($J85="","",INDEX('Transactions'!$A$1:$A$106,$J85))</f>
      </c>
      <c r="B85" s="26" t="str">
        <f>IF($J85="","",INDEX('Transactions'!$B$1:$B$106,$J85))</f>
      </c>
      <c r="C85" s="2" t="str">
        <f>IF($J85="","",INDEX('Transactions'!$K$1:$K$106,$J85))</f>
      </c>
      <c r="D85" s="2" t="str">
        <f>IF($J85="","",INDEX('Transactions'!$D$1:$D$106,$J85))</f>
      </c>
      <c r="E85" s="2" t="str">
        <f>IF($J85="","",INDEX('Transactions'!$E$1:$E$106,$J85))</f>
      </c>
      <c r="F85" s="2" t="str">
        <f>IF($J85="","",INDEX('Transactions'!$I$1:$I$106,$J85))</f>
      </c>
      <c r="G85" s="2" t="str">
        <f>IF($J85="","",INDEX('Transactions'!$F$1:$F$106,$J85))</f>
      </c>
      <c r="H85" s="2" t="str">
        <f>IF($J85="","",INDEX('Transactions'!$G$1:$G$106,$J85))</f>
      </c>
      <c r="I85" s="2" t="str">
        <f>IF($J85="","",INDEX('Transactions'!$J$1:$J$106,$J85))</f>
      </c>
      <c r="J85" s="2" t="str">
        <f>IF(OR($C$4="",$F$4&gt;$I$4),"",IFERROR(MATCH(79,'Transactions'!$M$7:$M$106,0)+6,""))</f>
      </c>
    </row>
    <row r="86" ht="24" customHeight="1">
      <c r="A86" s="2" t="str">
        <f>IF($J86="","",INDEX('Transactions'!$A$1:$A$106,$J86))</f>
      </c>
      <c r="B86" s="26" t="str">
        <f>IF($J86="","",INDEX('Transactions'!$B$1:$B$106,$J86))</f>
      </c>
      <c r="C86" s="2" t="str">
        <f>IF($J86="","",INDEX('Transactions'!$K$1:$K$106,$J86))</f>
      </c>
      <c r="D86" s="2" t="str">
        <f>IF($J86="","",INDEX('Transactions'!$D$1:$D$106,$J86))</f>
      </c>
      <c r="E86" s="2" t="str">
        <f>IF($J86="","",INDEX('Transactions'!$E$1:$E$106,$J86))</f>
      </c>
      <c r="F86" s="2" t="str">
        <f>IF($J86="","",INDEX('Transactions'!$I$1:$I$106,$J86))</f>
      </c>
      <c r="G86" s="2" t="str">
        <f>IF($J86="","",INDEX('Transactions'!$F$1:$F$106,$J86))</f>
      </c>
      <c r="H86" s="2" t="str">
        <f>IF($J86="","",INDEX('Transactions'!$G$1:$G$106,$J86))</f>
      </c>
      <c r="I86" s="2" t="str">
        <f>IF($J86="","",INDEX('Transactions'!$J$1:$J$106,$J86))</f>
      </c>
      <c r="J86" s="2" t="str">
        <f>IF(OR($C$4="",$F$4&gt;$I$4),"",IFERROR(MATCH(80,'Transactions'!$M$7:$M$106,0)+6,""))</f>
      </c>
    </row>
    <row r="87" ht="24" customHeight="1">
      <c r="A87" s="2" t="str">
        <f>IF($J87="","",INDEX('Transactions'!$A$1:$A$106,$J87))</f>
      </c>
      <c r="B87" s="26" t="str">
        <f>IF($J87="","",INDEX('Transactions'!$B$1:$B$106,$J87))</f>
      </c>
      <c r="C87" s="2" t="str">
        <f>IF($J87="","",INDEX('Transactions'!$K$1:$K$106,$J87))</f>
      </c>
      <c r="D87" s="2" t="str">
        <f>IF($J87="","",INDEX('Transactions'!$D$1:$D$106,$J87))</f>
      </c>
      <c r="E87" s="2" t="str">
        <f>IF($J87="","",INDEX('Transactions'!$E$1:$E$106,$J87))</f>
      </c>
      <c r="F87" s="2" t="str">
        <f>IF($J87="","",INDEX('Transactions'!$I$1:$I$106,$J87))</f>
      </c>
      <c r="G87" s="2" t="str">
        <f>IF($J87="","",INDEX('Transactions'!$F$1:$F$106,$J87))</f>
      </c>
      <c r="H87" s="2" t="str">
        <f>IF($J87="","",INDEX('Transactions'!$G$1:$G$106,$J87))</f>
      </c>
      <c r="I87" s="2" t="str">
        <f>IF($J87="","",INDEX('Transactions'!$J$1:$J$106,$J87))</f>
      </c>
      <c r="J87" s="2" t="str">
        <f>IF(OR($C$4="",$F$4&gt;$I$4),"",IFERROR(MATCH(81,'Transactions'!$M$7:$M$106,0)+6,""))</f>
      </c>
    </row>
    <row r="88" ht="24" customHeight="1">
      <c r="A88" s="2" t="str">
        <f>IF($J88="","",INDEX('Transactions'!$A$1:$A$106,$J88))</f>
      </c>
      <c r="B88" s="26" t="str">
        <f>IF($J88="","",INDEX('Transactions'!$B$1:$B$106,$J88))</f>
      </c>
      <c r="C88" s="2" t="str">
        <f>IF($J88="","",INDEX('Transactions'!$K$1:$K$106,$J88))</f>
      </c>
      <c r="D88" s="2" t="str">
        <f>IF($J88="","",INDEX('Transactions'!$D$1:$D$106,$J88))</f>
      </c>
      <c r="E88" s="2" t="str">
        <f>IF($J88="","",INDEX('Transactions'!$E$1:$E$106,$J88))</f>
      </c>
      <c r="F88" s="2" t="str">
        <f>IF($J88="","",INDEX('Transactions'!$I$1:$I$106,$J88))</f>
      </c>
      <c r="G88" s="2" t="str">
        <f>IF($J88="","",INDEX('Transactions'!$F$1:$F$106,$J88))</f>
      </c>
      <c r="H88" s="2" t="str">
        <f>IF($J88="","",INDEX('Transactions'!$G$1:$G$106,$J88))</f>
      </c>
      <c r="I88" s="2" t="str">
        <f>IF($J88="","",INDEX('Transactions'!$J$1:$J$106,$J88))</f>
      </c>
      <c r="J88" s="2" t="str">
        <f>IF(OR($C$4="",$F$4&gt;$I$4),"",IFERROR(MATCH(82,'Transactions'!$M$7:$M$106,0)+6,""))</f>
      </c>
    </row>
    <row r="89" ht="24" customHeight="1">
      <c r="A89" s="2" t="str">
        <f>IF($J89="","",INDEX('Transactions'!$A$1:$A$106,$J89))</f>
      </c>
      <c r="B89" s="26" t="str">
        <f>IF($J89="","",INDEX('Transactions'!$B$1:$B$106,$J89))</f>
      </c>
      <c r="C89" s="2" t="str">
        <f>IF($J89="","",INDEX('Transactions'!$K$1:$K$106,$J89))</f>
      </c>
      <c r="D89" s="2" t="str">
        <f>IF($J89="","",INDEX('Transactions'!$D$1:$D$106,$J89))</f>
      </c>
      <c r="E89" s="2" t="str">
        <f>IF($J89="","",INDEX('Transactions'!$E$1:$E$106,$J89))</f>
      </c>
      <c r="F89" s="2" t="str">
        <f>IF($J89="","",INDEX('Transactions'!$I$1:$I$106,$J89))</f>
      </c>
      <c r="G89" s="2" t="str">
        <f>IF($J89="","",INDEX('Transactions'!$F$1:$F$106,$J89))</f>
      </c>
      <c r="H89" s="2" t="str">
        <f>IF($J89="","",INDEX('Transactions'!$G$1:$G$106,$J89))</f>
      </c>
      <c r="I89" s="2" t="str">
        <f>IF($J89="","",INDEX('Transactions'!$J$1:$J$106,$J89))</f>
      </c>
      <c r="J89" s="2" t="str">
        <f>IF(OR($C$4="",$F$4&gt;$I$4),"",IFERROR(MATCH(83,'Transactions'!$M$7:$M$106,0)+6,""))</f>
      </c>
    </row>
    <row r="90" ht="24" customHeight="1">
      <c r="A90" s="2" t="str">
        <f>IF($J90="","",INDEX('Transactions'!$A$1:$A$106,$J90))</f>
      </c>
      <c r="B90" s="26" t="str">
        <f>IF($J90="","",INDEX('Transactions'!$B$1:$B$106,$J90))</f>
      </c>
      <c r="C90" s="2" t="str">
        <f>IF($J90="","",INDEX('Transactions'!$K$1:$K$106,$J90))</f>
      </c>
      <c r="D90" s="2" t="str">
        <f>IF($J90="","",INDEX('Transactions'!$D$1:$D$106,$J90))</f>
      </c>
      <c r="E90" s="2" t="str">
        <f>IF($J90="","",INDEX('Transactions'!$E$1:$E$106,$J90))</f>
      </c>
      <c r="F90" s="2" t="str">
        <f>IF($J90="","",INDEX('Transactions'!$I$1:$I$106,$J90))</f>
      </c>
      <c r="G90" s="2" t="str">
        <f>IF($J90="","",INDEX('Transactions'!$F$1:$F$106,$J90))</f>
      </c>
      <c r="H90" s="2" t="str">
        <f>IF($J90="","",INDEX('Transactions'!$G$1:$G$106,$J90))</f>
      </c>
      <c r="I90" s="2" t="str">
        <f>IF($J90="","",INDEX('Transactions'!$J$1:$J$106,$J90))</f>
      </c>
      <c r="J90" s="2" t="str">
        <f>IF(OR($C$4="",$F$4&gt;$I$4),"",IFERROR(MATCH(84,'Transactions'!$M$7:$M$106,0)+6,""))</f>
      </c>
    </row>
    <row r="91" ht="24" customHeight="1">
      <c r="A91" s="2" t="str">
        <f>IF($J91="","",INDEX('Transactions'!$A$1:$A$106,$J91))</f>
      </c>
      <c r="B91" s="26" t="str">
        <f>IF($J91="","",INDEX('Transactions'!$B$1:$B$106,$J91))</f>
      </c>
      <c r="C91" s="2" t="str">
        <f>IF($J91="","",INDEX('Transactions'!$K$1:$K$106,$J91))</f>
      </c>
      <c r="D91" s="2" t="str">
        <f>IF($J91="","",INDEX('Transactions'!$D$1:$D$106,$J91))</f>
      </c>
      <c r="E91" s="2" t="str">
        <f>IF($J91="","",INDEX('Transactions'!$E$1:$E$106,$J91))</f>
      </c>
      <c r="F91" s="2" t="str">
        <f>IF($J91="","",INDEX('Transactions'!$I$1:$I$106,$J91))</f>
      </c>
      <c r="G91" s="2" t="str">
        <f>IF($J91="","",INDEX('Transactions'!$F$1:$F$106,$J91))</f>
      </c>
      <c r="H91" s="2" t="str">
        <f>IF($J91="","",INDEX('Transactions'!$G$1:$G$106,$J91))</f>
      </c>
      <c r="I91" s="2" t="str">
        <f>IF($J91="","",INDEX('Transactions'!$J$1:$J$106,$J91))</f>
      </c>
      <c r="J91" s="2" t="str">
        <f>IF(OR($C$4="",$F$4&gt;$I$4),"",IFERROR(MATCH(85,'Transactions'!$M$7:$M$106,0)+6,""))</f>
      </c>
    </row>
    <row r="92" ht="24" customHeight="1">
      <c r="A92" s="2" t="str">
        <f>IF($J92="","",INDEX('Transactions'!$A$1:$A$106,$J92))</f>
      </c>
      <c r="B92" s="26" t="str">
        <f>IF($J92="","",INDEX('Transactions'!$B$1:$B$106,$J92))</f>
      </c>
      <c r="C92" s="2" t="str">
        <f>IF($J92="","",INDEX('Transactions'!$K$1:$K$106,$J92))</f>
      </c>
      <c r="D92" s="2" t="str">
        <f>IF($J92="","",INDEX('Transactions'!$D$1:$D$106,$J92))</f>
      </c>
      <c r="E92" s="2" t="str">
        <f>IF($J92="","",INDEX('Transactions'!$E$1:$E$106,$J92))</f>
      </c>
      <c r="F92" s="2" t="str">
        <f>IF($J92="","",INDEX('Transactions'!$I$1:$I$106,$J92))</f>
      </c>
      <c r="G92" s="2" t="str">
        <f>IF($J92="","",INDEX('Transactions'!$F$1:$F$106,$J92))</f>
      </c>
      <c r="H92" s="2" t="str">
        <f>IF($J92="","",INDEX('Transactions'!$G$1:$G$106,$J92))</f>
      </c>
      <c r="I92" s="2" t="str">
        <f>IF($J92="","",INDEX('Transactions'!$J$1:$J$106,$J92))</f>
      </c>
      <c r="J92" s="2" t="str">
        <f>IF(OR($C$4="",$F$4&gt;$I$4),"",IFERROR(MATCH(86,'Transactions'!$M$7:$M$106,0)+6,""))</f>
      </c>
    </row>
    <row r="93" ht="24" customHeight="1">
      <c r="A93" s="2" t="str">
        <f>IF($J93="","",INDEX('Transactions'!$A$1:$A$106,$J93))</f>
      </c>
      <c r="B93" s="26" t="str">
        <f>IF($J93="","",INDEX('Transactions'!$B$1:$B$106,$J93))</f>
      </c>
      <c r="C93" s="2" t="str">
        <f>IF($J93="","",INDEX('Transactions'!$K$1:$K$106,$J93))</f>
      </c>
      <c r="D93" s="2" t="str">
        <f>IF($J93="","",INDEX('Transactions'!$D$1:$D$106,$J93))</f>
      </c>
      <c r="E93" s="2" t="str">
        <f>IF($J93="","",INDEX('Transactions'!$E$1:$E$106,$J93))</f>
      </c>
      <c r="F93" s="2" t="str">
        <f>IF($J93="","",INDEX('Transactions'!$I$1:$I$106,$J93))</f>
      </c>
      <c r="G93" s="2" t="str">
        <f>IF($J93="","",INDEX('Transactions'!$F$1:$F$106,$J93))</f>
      </c>
      <c r="H93" s="2" t="str">
        <f>IF($J93="","",INDEX('Transactions'!$G$1:$G$106,$J93))</f>
      </c>
      <c r="I93" s="2" t="str">
        <f>IF($J93="","",INDEX('Transactions'!$J$1:$J$106,$J93))</f>
      </c>
      <c r="J93" s="2" t="str">
        <f>IF(OR($C$4="",$F$4&gt;$I$4),"",IFERROR(MATCH(87,'Transactions'!$M$7:$M$106,0)+6,""))</f>
      </c>
    </row>
    <row r="94" ht="24" customHeight="1">
      <c r="A94" s="2" t="str">
        <f>IF($J94="","",INDEX('Transactions'!$A$1:$A$106,$J94))</f>
      </c>
      <c r="B94" s="26" t="str">
        <f>IF($J94="","",INDEX('Transactions'!$B$1:$B$106,$J94))</f>
      </c>
      <c r="C94" s="2" t="str">
        <f>IF($J94="","",INDEX('Transactions'!$K$1:$K$106,$J94))</f>
      </c>
      <c r="D94" s="2" t="str">
        <f>IF($J94="","",INDEX('Transactions'!$D$1:$D$106,$J94))</f>
      </c>
      <c r="E94" s="2" t="str">
        <f>IF($J94="","",INDEX('Transactions'!$E$1:$E$106,$J94))</f>
      </c>
      <c r="F94" s="2" t="str">
        <f>IF($J94="","",INDEX('Transactions'!$I$1:$I$106,$J94))</f>
      </c>
      <c r="G94" s="2" t="str">
        <f>IF($J94="","",INDEX('Transactions'!$F$1:$F$106,$J94))</f>
      </c>
      <c r="H94" s="2" t="str">
        <f>IF($J94="","",INDEX('Transactions'!$G$1:$G$106,$J94))</f>
      </c>
      <c r="I94" s="2" t="str">
        <f>IF($J94="","",INDEX('Transactions'!$J$1:$J$106,$J94))</f>
      </c>
      <c r="J94" s="2" t="str">
        <f>IF(OR($C$4="",$F$4&gt;$I$4),"",IFERROR(MATCH(88,'Transactions'!$M$7:$M$106,0)+6,""))</f>
      </c>
    </row>
    <row r="95" ht="24" customHeight="1">
      <c r="A95" s="2" t="str">
        <f>IF($J95="","",INDEX('Transactions'!$A$1:$A$106,$J95))</f>
      </c>
      <c r="B95" s="26" t="str">
        <f>IF($J95="","",INDEX('Transactions'!$B$1:$B$106,$J95))</f>
      </c>
      <c r="C95" s="2" t="str">
        <f>IF($J95="","",INDEX('Transactions'!$K$1:$K$106,$J95))</f>
      </c>
      <c r="D95" s="2" t="str">
        <f>IF($J95="","",INDEX('Transactions'!$D$1:$D$106,$J95))</f>
      </c>
      <c r="E95" s="2" t="str">
        <f>IF($J95="","",INDEX('Transactions'!$E$1:$E$106,$J95))</f>
      </c>
      <c r="F95" s="2" t="str">
        <f>IF($J95="","",INDEX('Transactions'!$I$1:$I$106,$J95))</f>
      </c>
      <c r="G95" s="2" t="str">
        <f>IF($J95="","",INDEX('Transactions'!$F$1:$F$106,$J95))</f>
      </c>
      <c r="H95" s="2" t="str">
        <f>IF($J95="","",INDEX('Transactions'!$G$1:$G$106,$J95))</f>
      </c>
      <c r="I95" s="2" t="str">
        <f>IF($J95="","",INDEX('Transactions'!$J$1:$J$106,$J95))</f>
      </c>
      <c r="J95" s="2" t="str">
        <f>IF(OR($C$4="",$F$4&gt;$I$4),"",IFERROR(MATCH(89,'Transactions'!$M$7:$M$106,0)+6,""))</f>
      </c>
    </row>
    <row r="96" ht="24" customHeight="1">
      <c r="A96" s="2" t="str">
        <f>IF($J96="","",INDEX('Transactions'!$A$1:$A$106,$J96))</f>
      </c>
      <c r="B96" s="26" t="str">
        <f>IF($J96="","",INDEX('Transactions'!$B$1:$B$106,$J96))</f>
      </c>
      <c r="C96" s="2" t="str">
        <f>IF($J96="","",INDEX('Transactions'!$K$1:$K$106,$J96))</f>
      </c>
      <c r="D96" s="2" t="str">
        <f>IF($J96="","",INDEX('Transactions'!$D$1:$D$106,$J96))</f>
      </c>
      <c r="E96" s="2" t="str">
        <f>IF($J96="","",INDEX('Transactions'!$E$1:$E$106,$J96))</f>
      </c>
      <c r="F96" s="2" t="str">
        <f>IF($J96="","",INDEX('Transactions'!$I$1:$I$106,$J96))</f>
      </c>
      <c r="G96" s="2" t="str">
        <f>IF($J96="","",INDEX('Transactions'!$F$1:$F$106,$J96))</f>
      </c>
      <c r="H96" s="2" t="str">
        <f>IF($J96="","",INDEX('Transactions'!$G$1:$G$106,$J96))</f>
      </c>
      <c r="I96" s="2" t="str">
        <f>IF($J96="","",INDEX('Transactions'!$J$1:$J$106,$J96))</f>
      </c>
      <c r="J96" s="2" t="str">
        <f>IF(OR($C$4="",$F$4&gt;$I$4),"",IFERROR(MATCH(90,'Transactions'!$M$7:$M$106,0)+6,""))</f>
      </c>
    </row>
    <row r="97" ht="24" customHeight="1">
      <c r="A97" s="2" t="str">
        <f>IF($J97="","",INDEX('Transactions'!$A$1:$A$106,$J97))</f>
      </c>
      <c r="B97" s="26" t="str">
        <f>IF($J97="","",INDEX('Transactions'!$B$1:$B$106,$J97))</f>
      </c>
      <c r="C97" s="2" t="str">
        <f>IF($J97="","",INDEX('Transactions'!$K$1:$K$106,$J97))</f>
      </c>
      <c r="D97" s="2" t="str">
        <f>IF($J97="","",INDEX('Transactions'!$D$1:$D$106,$J97))</f>
      </c>
      <c r="E97" s="2" t="str">
        <f>IF($J97="","",INDEX('Transactions'!$E$1:$E$106,$J97))</f>
      </c>
      <c r="F97" s="2" t="str">
        <f>IF($J97="","",INDEX('Transactions'!$I$1:$I$106,$J97))</f>
      </c>
      <c r="G97" s="2" t="str">
        <f>IF($J97="","",INDEX('Transactions'!$F$1:$F$106,$J97))</f>
      </c>
      <c r="H97" s="2" t="str">
        <f>IF($J97="","",INDEX('Transactions'!$G$1:$G$106,$J97))</f>
      </c>
      <c r="I97" s="2" t="str">
        <f>IF($J97="","",INDEX('Transactions'!$J$1:$J$106,$J97))</f>
      </c>
      <c r="J97" s="2" t="str">
        <f>IF(OR($C$4="",$F$4&gt;$I$4),"",IFERROR(MATCH(91,'Transactions'!$M$7:$M$106,0)+6,""))</f>
      </c>
    </row>
    <row r="98" ht="24" customHeight="1">
      <c r="A98" s="2" t="str">
        <f>IF($J98="","",INDEX('Transactions'!$A$1:$A$106,$J98))</f>
      </c>
      <c r="B98" s="26" t="str">
        <f>IF($J98="","",INDEX('Transactions'!$B$1:$B$106,$J98))</f>
      </c>
      <c r="C98" s="2" t="str">
        <f>IF($J98="","",INDEX('Transactions'!$K$1:$K$106,$J98))</f>
      </c>
      <c r="D98" s="2" t="str">
        <f>IF($J98="","",INDEX('Transactions'!$D$1:$D$106,$J98))</f>
      </c>
      <c r="E98" s="2" t="str">
        <f>IF($J98="","",INDEX('Transactions'!$E$1:$E$106,$J98))</f>
      </c>
      <c r="F98" s="2" t="str">
        <f>IF($J98="","",INDEX('Transactions'!$I$1:$I$106,$J98))</f>
      </c>
      <c r="G98" s="2" t="str">
        <f>IF($J98="","",INDEX('Transactions'!$F$1:$F$106,$J98))</f>
      </c>
      <c r="H98" s="2" t="str">
        <f>IF($J98="","",INDEX('Transactions'!$G$1:$G$106,$J98))</f>
      </c>
      <c r="I98" s="2" t="str">
        <f>IF($J98="","",INDEX('Transactions'!$J$1:$J$106,$J98))</f>
      </c>
      <c r="J98" s="2" t="str">
        <f>IF(OR($C$4="",$F$4&gt;$I$4),"",IFERROR(MATCH(92,'Transactions'!$M$7:$M$106,0)+6,""))</f>
      </c>
    </row>
    <row r="99" ht="24" customHeight="1">
      <c r="A99" s="2" t="str">
        <f>IF($J99="","",INDEX('Transactions'!$A$1:$A$106,$J99))</f>
      </c>
      <c r="B99" s="26" t="str">
        <f>IF($J99="","",INDEX('Transactions'!$B$1:$B$106,$J99))</f>
      </c>
      <c r="C99" s="2" t="str">
        <f>IF($J99="","",INDEX('Transactions'!$K$1:$K$106,$J99))</f>
      </c>
      <c r="D99" s="2" t="str">
        <f>IF($J99="","",INDEX('Transactions'!$D$1:$D$106,$J99))</f>
      </c>
      <c r="E99" s="2" t="str">
        <f>IF($J99="","",INDEX('Transactions'!$E$1:$E$106,$J99))</f>
      </c>
      <c r="F99" s="2" t="str">
        <f>IF($J99="","",INDEX('Transactions'!$I$1:$I$106,$J99))</f>
      </c>
      <c r="G99" s="2" t="str">
        <f>IF($J99="","",INDEX('Transactions'!$F$1:$F$106,$J99))</f>
      </c>
      <c r="H99" s="2" t="str">
        <f>IF($J99="","",INDEX('Transactions'!$G$1:$G$106,$J99))</f>
      </c>
      <c r="I99" s="2" t="str">
        <f>IF($J99="","",INDEX('Transactions'!$J$1:$J$106,$J99))</f>
      </c>
      <c r="J99" s="2" t="str">
        <f>IF(OR($C$4="",$F$4&gt;$I$4),"",IFERROR(MATCH(93,'Transactions'!$M$7:$M$106,0)+6,""))</f>
      </c>
    </row>
    <row r="100" ht="24" customHeight="1">
      <c r="A100" s="2" t="str">
        <f>IF($J100="","",INDEX('Transactions'!$A$1:$A$106,$J100))</f>
      </c>
      <c r="B100" s="26" t="str">
        <f>IF($J100="","",INDEX('Transactions'!$B$1:$B$106,$J100))</f>
      </c>
      <c r="C100" s="2" t="str">
        <f>IF($J100="","",INDEX('Transactions'!$K$1:$K$106,$J100))</f>
      </c>
      <c r="D100" s="2" t="str">
        <f>IF($J100="","",INDEX('Transactions'!$D$1:$D$106,$J100))</f>
      </c>
      <c r="E100" s="2" t="str">
        <f>IF($J100="","",INDEX('Transactions'!$E$1:$E$106,$J100))</f>
      </c>
      <c r="F100" s="2" t="str">
        <f>IF($J100="","",INDEX('Transactions'!$I$1:$I$106,$J100))</f>
      </c>
      <c r="G100" s="2" t="str">
        <f>IF($J100="","",INDEX('Transactions'!$F$1:$F$106,$J100))</f>
      </c>
      <c r="H100" s="2" t="str">
        <f>IF($J100="","",INDEX('Transactions'!$G$1:$G$106,$J100))</f>
      </c>
      <c r="I100" s="2" t="str">
        <f>IF($J100="","",INDEX('Transactions'!$J$1:$J$106,$J100))</f>
      </c>
      <c r="J100" s="2" t="str">
        <f>IF(OR($C$4="",$F$4&gt;$I$4),"",IFERROR(MATCH(94,'Transactions'!$M$7:$M$106,0)+6,""))</f>
      </c>
    </row>
    <row r="101" ht="24" customHeight="1">
      <c r="A101" s="2" t="str">
        <f>IF($J101="","",INDEX('Transactions'!$A$1:$A$106,$J101))</f>
      </c>
      <c r="B101" s="26" t="str">
        <f>IF($J101="","",INDEX('Transactions'!$B$1:$B$106,$J101))</f>
      </c>
      <c r="C101" s="2" t="str">
        <f>IF($J101="","",INDEX('Transactions'!$K$1:$K$106,$J101))</f>
      </c>
      <c r="D101" s="2" t="str">
        <f>IF($J101="","",INDEX('Transactions'!$D$1:$D$106,$J101))</f>
      </c>
      <c r="E101" s="2" t="str">
        <f>IF($J101="","",INDEX('Transactions'!$E$1:$E$106,$J101))</f>
      </c>
      <c r="F101" s="2" t="str">
        <f>IF($J101="","",INDEX('Transactions'!$I$1:$I$106,$J101))</f>
      </c>
      <c r="G101" s="2" t="str">
        <f>IF($J101="","",INDEX('Transactions'!$F$1:$F$106,$J101))</f>
      </c>
      <c r="H101" s="2" t="str">
        <f>IF($J101="","",INDEX('Transactions'!$G$1:$G$106,$J101))</f>
      </c>
      <c r="I101" s="2" t="str">
        <f>IF($J101="","",INDEX('Transactions'!$J$1:$J$106,$J101))</f>
      </c>
      <c r="J101" s="2" t="str">
        <f>IF(OR($C$4="",$F$4&gt;$I$4),"",IFERROR(MATCH(95,'Transactions'!$M$7:$M$106,0)+6,""))</f>
      </c>
    </row>
    <row r="102" ht="24" customHeight="1">
      <c r="A102" s="2" t="str">
        <f>IF($J102="","",INDEX('Transactions'!$A$1:$A$106,$J102))</f>
      </c>
      <c r="B102" s="26" t="str">
        <f>IF($J102="","",INDEX('Transactions'!$B$1:$B$106,$J102))</f>
      </c>
      <c r="C102" s="2" t="str">
        <f>IF($J102="","",INDEX('Transactions'!$K$1:$K$106,$J102))</f>
      </c>
      <c r="D102" s="2" t="str">
        <f>IF($J102="","",INDEX('Transactions'!$D$1:$D$106,$J102))</f>
      </c>
      <c r="E102" s="2" t="str">
        <f>IF($J102="","",INDEX('Transactions'!$E$1:$E$106,$J102))</f>
      </c>
      <c r="F102" s="2" t="str">
        <f>IF($J102="","",INDEX('Transactions'!$I$1:$I$106,$J102))</f>
      </c>
      <c r="G102" s="2" t="str">
        <f>IF($J102="","",INDEX('Transactions'!$F$1:$F$106,$J102))</f>
      </c>
      <c r="H102" s="2" t="str">
        <f>IF($J102="","",INDEX('Transactions'!$G$1:$G$106,$J102))</f>
      </c>
      <c r="I102" s="2" t="str">
        <f>IF($J102="","",INDEX('Transactions'!$J$1:$J$106,$J102))</f>
      </c>
      <c r="J102" s="2" t="str">
        <f>IF(OR($C$4="",$F$4&gt;$I$4),"",IFERROR(MATCH(96,'Transactions'!$M$7:$M$106,0)+6,""))</f>
      </c>
    </row>
    <row r="103" ht="24" customHeight="1">
      <c r="A103" s="2" t="str">
        <f>IF($J103="","",INDEX('Transactions'!$A$1:$A$106,$J103))</f>
      </c>
      <c r="B103" s="26" t="str">
        <f>IF($J103="","",INDEX('Transactions'!$B$1:$B$106,$J103))</f>
      </c>
      <c r="C103" s="2" t="str">
        <f>IF($J103="","",INDEX('Transactions'!$K$1:$K$106,$J103))</f>
      </c>
      <c r="D103" s="2" t="str">
        <f>IF($J103="","",INDEX('Transactions'!$D$1:$D$106,$J103))</f>
      </c>
      <c r="E103" s="2" t="str">
        <f>IF($J103="","",INDEX('Transactions'!$E$1:$E$106,$J103))</f>
      </c>
      <c r="F103" s="2" t="str">
        <f>IF($J103="","",INDEX('Transactions'!$I$1:$I$106,$J103))</f>
      </c>
      <c r="G103" s="2" t="str">
        <f>IF($J103="","",INDEX('Transactions'!$F$1:$F$106,$J103))</f>
      </c>
      <c r="H103" s="2" t="str">
        <f>IF($J103="","",INDEX('Transactions'!$G$1:$G$106,$J103))</f>
      </c>
      <c r="I103" s="2" t="str">
        <f>IF($J103="","",INDEX('Transactions'!$J$1:$J$106,$J103))</f>
      </c>
      <c r="J103" s="2" t="str">
        <f>IF(OR($C$4="",$F$4&gt;$I$4),"",IFERROR(MATCH(97,'Transactions'!$M$7:$M$106,0)+6,""))</f>
      </c>
    </row>
    <row r="104" ht="24" customHeight="1">
      <c r="A104" s="2" t="str">
        <f>IF($J104="","",INDEX('Transactions'!$A$1:$A$106,$J104))</f>
      </c>
      <c r="B104" s="26" t="str">
        <f>IF($J104="","",INDEX('Transactions'!$B$1:$B$106,$J104))</f>
      </c>
      <c r="C104" s="2" t="str">
        <f>IF($J104="","",INDEX('Transactions'!$K$1:$K$106,$J104))</f>
      </c>
      <c r="D104" s="2" t="str">
        <f>IF($J104="","",INDEX('Transactions'!$D$1:$D$106,$J104))</f>
      </c>
      <c r="E104" s="2" t="str">
        <f>IF($J104="","",INDEX('Transactions'!$E$1:$E$106,$J104))</f>
      </c>
      <c r="F104" s="2" t="str">
        <f>IF($J104="","",INDEX('Transactions'!$I$1:$I$106,$J104))</f>
      </c>
      <c r="G104" s="2" t="str">
        <f>IF($J104="","",INDEX('Transactions'!$F$1:$F$106,$J104))</f>
      </c>
      <c r="H104" s="2" t="str">
        <f>IF($J104="","",INDEX('Transactions'!$G$1:$G$106,$J104))</f>
      </c>
      <c r="I104" s="2" t="str">
        <f>IF($J104="","",INDEX('Transactions'!$J$1:$J$106,$J104))</f>
      </c>
      <c r="J104" s="2" t="str">
        <f>IF(OR($C$4="",$F$4&gt;$I$4),"",IFERROR(MATCH(98,'Transactions'!$M$7:$M$106,0)+6,""))</f>
      </c>
    </row>
    <row r="105" ht="24" customHeight="1">
      <c r="A105" s="2" t="str">
        <f>IF($J105="","",INDEX('Transactions'!$A$1:$A$106,$J105))</f>
      </c>
      <c r="B105" s="26" t="str">
        <f>IF($J105="","",INDEX('Transactions'!$B$1:$B$106,$J105))</f>
      </c>
      <c r="C105" s="2" t="str">
        <f>IF($J105="","",INDEX('Transactions'!$K$1:$K$106,$J105))</f>
      </c>
      <c r="D105" s="2" t="str">
        <f>IF($J105="","",INDEX('Transactions'!$D$1:$D$106,$J105))</f>
      </c>
      <c r="E105" s="2" t="str">
        <f>IF($J105="","",INDEX('Transactions'!$E$1:$E$106,$J105))</f>
      </c>
      <c r="F105" s="2" t="str">
        <f>IF($J105="","",INDEX('Transactions'!$I$1:$I$106,$J105))</f>
      </c>
      <c r="G105" s="2" t="str">
        <f>IF($J105="","",INDEX('Transactions'!$F$1:$F$106,$J105))</f>
      </c>
      <c r="H105" s="2" t="str">
        <f>IF($J105="","",INDEX('Transactions'!$G$1:$G$106,$J105))</f>
      </c>
      <c r="I105" s="2" t="str">
        <f>IF($J105="","",INDEX('Transactions'!$J$1:$J$106,$J105))</f>
      </c>
      <c r="J105" s="2" t="str">
        <f>IF(OR($C$4="",$F$4&gt;$I$4),"",IFERROR(MATCH(99,'Transactions'!$M$7:$M$106,0)+6,""))</f>
      </c>
    </row>
    <row r="106" ht="24" customHeight="1">
      <c r="A106" s="2" t="str">
        <f>IF($J106="","",INDEX('Transactions'!$A$1:$A$106,$J106))</f>
      </c>
      <c r="B106" s="26" t="str">
        <f>IF($J106="","",INDEX('Transactions'!$B$1:$B$106,$J106))</f>
      </c>
      <c r="C106" s="2" t="str">
        <f>IF($J106="","",INDEX('Transactions'!$K$1:$K$106,$J106))</f>
      </c>
      <c r="D106" s="2" t="str">
        <f>IF($J106="","",INDEX('Transactions'!$D$1:$D$106,$J106))</f>
      </c>
      <c r="E106" s="2" t="str">
        <f>IF($J106="","",INDEX('Transactions'!$E$1:$E$106,$J106))</f>
      </c>
      <c r="F106" s="2" t="str">
        <f>IF($J106="","",INDEX('Transactions'!$I$1:$I$106,$J106))</f>
      </c>
      <c r="G106" s="2" t="str">
        <f>IF($J106="","",INDEX('Transactions'!$F$1:$F$106,$J106))</f>
      </c>
      <c r="H106" s="2" t="str">
        <f>IF($J106="","",INDEX('Transactions'!$G$1:$G$106,$J106))</f>
      </c>
      <c r="I106" s="2" t="str">
        <f>IF($J106="","",INDEX('Transactions'!$J$1:$J$106,$J106))</f>
      </c>
      <c r="J106" s="2" t="str">
        <f>IF(OR($C$4="",$F$4&gt;$I$4),"",IFERROR(MATCH(100,'Transactions'!$M$7:$M$106,0)+6,""))</f>
      </c>
    </row>
    <row r="107" ht="24" customHeight="1">
      <c r="A107" s="2" t="str">
        <f>IF($J107="","",INDEX('Transactions'!$A$1:$A$106,$J107))</f>
      </c>
      <c r="B107" s="26" t="str">
        <f>IF($J107="","",INDEX('Transactions'!$B$1:$B$106,$J107))</f>
      </c>
      <c r="C107" s="2" t="str">
        <f>IF($J107="","",INDEX('Transactions'!$K$1:$K$106,$J107))</f>
      </c>
      <c r="D107" s="2" t="str">
        <f>IF($J107="","",INDEX('Transactions'!$D$1:$D$106,$J107))</f>
      </c>
      <c r="E107" s="2" t="str">
        <f>IF($J107="","",INDEX('Transactions'!$E$1:$E$106,$J107))</f>
      </c>
      <c r="F107" s="2" t="str">
        <f>IF($J107="","",INDEX('Transactions'!$I$1:$I$106,$J107))</f>
      </c>
      <c r="G107" s="2" t="str">
        <f>IF($J107="","",INDEX('Transactions'!$F$1:$F$106,$J107))</f>
      </c>
      <c r="H107" s="2" t="str">
        <f>IF($J107="","",INDEX('Transactions'!$G$1:$G$106,$J107))</f>
      </c>
      <c r="I107" s="2" t="str">
        <f>IF($J107="","",INDEX('Transactions'!$J$1:$J$106,$J107))</f>
      </c>
      <c r="J107" s="2" t="str">
        <f>IF(OR($C$4="",$F$4&gt;$I$4),"",IFERROR(MATCH(101,'Transactions'!$M$7:$M$106,0)+6,""))</f>
      </c>
    </row>
    <row r="108" ht="24" customHeight="1">
      <c r="A108" s="2" t="str">
        <f>IF($J108="","",INDEX('Transactions'!$A$1:$A$106,$J108))</f>
      </c>
      <c r="B108" s="26" t="str">
        <f>IF($J108="","",INDEX('Transactions'!$B$1:$B$106,$J108))</f>
      </c>
      <c r="C108" s="2" t="str">
        <f>IF($J108="","",INDEX('Transactions'!$K$1:$K$106,$J108))</f>
      </c>
      <c r="D108" s="2" t="str">
        <f>IF($J108="","",INDEX('Transactions'!$D$1:$D$106,$J108))</f>
      </c>
      <c r="E108" s="2" t="str">
        <f>IF($J108="","",INDEX('Transactions'!$E$1:$E$106,$J108))</f>
      </c>
      <c r="F108" s="2" t="str">
        <f>IF($J108="","",INDEX('Transactions'!$I$1:$I$106,$J108))</f>
      </c>
      <c r="G108" s="2" t="str">
        <f>IF($J108="","",INDEX('Transactions'!$F$1:$F$106,$J108))</f>
      </c>
      <c r="H108" s="2" t="str">
        <f>IF($J108="","",INDEX('Transactions'!$G$1:$G$106,$J108))</f>
      </c>
      <c r="I108" s="2" t="str">
        <f>IF($J108="","",INDEX('Transactions'!$J$1:$J$106,$J108))</f>
      </c>
      <c r="J108" s="2" t="str">
        <f>IF(OR($C$4="",$F$4&gt;$I$4),"",IFERROR(MATCH(102,'Transactions'!$M$7:$M$106,0)+6,""))</f>
      </c>
    </row>
    <row r="109" ht="24" customHeight="1">
      <c r="A109" s="2" t="str">
        <f>IF($J109="","",INDEX('Transactions'!$A$1:$A$106,$J109))</f>
      </c>
      <c r="B109" s="26" t="str">
        <f>IF($J109="","",INDEX('Transactions'!$B$1:$B$106,$J109))</f>
      </c>
      <c r="C109" s="2" t="str">
        <f>IF($J109="","",INDEX('Transactions'!$K$1:$K$106,$J109))</f>
      </c>
      <c r="D109" s="2" t="str">
        <f>IF($J109="","",INDEX('Transactions'!$D$1:$D$106,$J109))</f>
      </c>
      <c r="E109" s="2" t="str">
        <f>IF($J109="","",INDEX('Transactions'!$E$1:$E$106,$J109))</f>
      </c>
      <c r="F109" s="2" t="str">
        <f>IF($J109="","",INDEX('Transactions'!$I$1:$I$106,$J109))</f>
      </c>
      <c r="G109" s="2" t="str">
        <f>IF($J109="","",INDEX('Transactions'!$F$1:$F$106,$J109))</f>
      </c>
      <c r="H109" s="2" t="str">
        <f>IF($J109="","",INDEX('Transactions'!$G$1:$G$106,$J109))</f>
      </c>
      <c r="I109" s="2" t="str">
        <f>IF($J109="","",INDEX('Transactions'!$J$1:$J$106,$J109))</f>
      </c>
      <c r="J109" s="2" t="str">
        <f>IF(OR($C$4="",$F$4&gt;$I$4),"",IFERROR(MATCH(103,'Transactions'!$M$7:$M$106,0)+6,""))</f>
      </c>
    </row>
    <row r="110" ht="24" customHeight="1">
      <c r="A110" s="2" t="str">
        <f>IF($J110="","",INDEX('Transactions'!$A$1:$A$106,$J110))</f>
      </c>
      <c r="B110" s="26" t="str">
        <f>IF($J110="","",INDEX('Transactions'!$B$1:$B$106,$J110))</f>
      </c>
      <c r="C110" s="2" t="str">
        <f>IF($J110="","",INDEX('Transactions'!$K$1:$K$106,$J110))</f>
      </c>
      <c r="D110" s="2" t="str">
        <f>IF($J110="","",INDEX('Transactions'!$D$1:$D$106,$J110))</f>
      </c>
      <c r="E110" s="2" t="str">
        <f>IF($J110="","",INDEX('Transactions'!$E$1:$E$106,$J110))</f>
      </c>
      <c r="F110" s="2" t="str">
        <f>IF($J110="","",INDEX('Transactions'!$I$1:$I$106,$J110))</f>
      </c>
      <c r="G110" s="2" t="str">
        <f>IF($J110="","",INDEX('Transactions'!$F$1:$F$106,$J110))</f>
      </c>
      <c r="H110" s="2" t="str">
        <f>IF($J110="","",INDEX('Transactions'!$G$1:$G$106,$J110))</f>
      </c>
      <c r="I110" s="2" t="str">
        <f>IF($J110="","",INDEX('Transactions'!$J$1:$J$106,$J110))</f>
      </c>
      <c r="J110" s="2" t="str">
        <f>IF(OR($C$4="",$F$4&gt;$I$4),"",IFERROR(MATCH(104,'Transactions'!$M$7:$M$106,0)+6,""))</f>
      </c>
    </row>
    <row r="111" ht="24" customHeight="1">
      <c r="A111" s="2" t="str">
        <f>IF($J111="","",INDEX('Transactions'!$A$1:$A$106,$J111))</f>
      </c>
      <c r="B111" s="26" t="str">
        <f>IF($J111="","",INDEX('Transactions'!$B$1:$B$106,$J111))</f>
      </c>
      <c r="C111" s="2" t="str">
        <f>IF($J111="","",INDEX('Transactions'!$K$1:$K$106,$J111))</f>
      </c>
      <c r="D111" s="2" t="str">
        <f>IF($J111="","",INDEX('Transactions'!$D$1:$D$106,$J111))</f>
      </c>
      <c r="E111" s="2" t="str">
        <f>IF($J111="","",INDEX('Transactions'!$E$1:$E$106,$J111))</f>
      </c>
      <c r="F111" s="2" t="str">
        <f>IF($J111="","",INDEX('Transactions'!$I$1:$I$106,$J111))</f>
      </c>
      <c r="G111" s="2" t="str">
        <f>IF($J111="","",INDEX('Transactions'!$F$1:$F$106,$J111))</f>
      </c>
      <c r="H111" s="2" t="str">
        <f>IF($J111="","",INDEX('Transactions'!$G$1:$G$106,$J111))</f>
      </c>
      <c r="I111" s="2" t="str">
        <f>IF($J111="","",INDEX('Transactions'!$J$1:$J$106,$J111))</f>
      </c>
      <c r="J111" s="2" t="str">
        <f>IF(OR($C$4="",$F$4&gt;$I$4),"",IFERROR(MATCH(105,'Transactions'!$M$7:$M$106,0)+6,""))</f>
      </c>
    </row>
    <row r="112" ht="24" customHeight="1">
      <c r="A112" s="2" t="str">
        <f>IF($J112="","",INDEX('Transactions'!$A$1:$A$106,$J112))</f>
      </c>
      <c r="B112" s="26" t="str">
        <f>IF($J112="","",INDEX('Transactions'!$B$1:$B$106,$J112))</f>
      </c>
      <c r="C112" s="2" t="str">
        <f>IF($J112="","",INDEX('Transactions'!$K$1:$K$106,$J112))</f>
      </c>
      <c r="D112" s="2" t="str">
        <f>IF($J112="","",INDEX('Transactions'!$D$1:$D$106,$J112))</f>
      </c>
      <c r="E112" s="2" t="str">
        <f>IF($J112="","",INDEX('Transactions'!$E$1:$E$106,$J112))</f>
      </c>
      <c r="F112" s="2" t="str">
        <f>IF($J112="","",INDEX('Transactions'!$I$1:$I$106,$J112))</f>
      </c>
      <c r="G112" s="2" t="str">
        <f>IF($J112="","",INDEX('Transactions'!$F$1:$F$106,$J112))</f>
      </c>
      <c r="H112" s="2" t="str">
        <f>IF($J112="","",INDEX('Transactions'!$G$1:$G$106,$J112))</f>
      </c>
      <c r="I112" s="2" t="str">
        <f>IF($J112="","",INDEX('Transactions'!$J$1:$J$106,$J112))</f>
      </c>
      <c r="J112" s="2" t="str">
        <f>IF(OR($C$4="",$F$4&gt;$I$4),"",IFERROR(MATCH(106,'Transactions'!$M$7:$M$106,0)+6,""))</f>
      </c>
    </row>
    <row r="113" ht="24" customHeight="1">
      <c r="A113" s="2" t="str">
        <f>IF($J113="","",INDEX('Transactions'!$A$1:$A$106,$J113))</f>
      </c>
      <c r="B113" s="26" t="str">
        <f>IF($J113="","",INDEX('Transactions'!$B$1:$B$106,$J113))</f>
      </c>
      <c r="C113" s="2" t="str">
        <f>IF($J113="","",INDEX('Transactions'!$K$1:$K$106,$J113))</f>
      </c>
      <c r="D113" s="2" t="str">
        <f>IF($J113="","",INDEX('Transactions'!$D$1:$D$106,$J113))</f>
      </c>
      <c r="E113" s="2" t="str">
        <f>IF($J113="","",INDEX('Transactions'!$E$1:$E$106,$J113))</f>
      </c>
      <c r="F113" s="2" t="str">
        <f>IF($J113="","",INDEX('Transactions'!$I$1:$I$106,$J113))</f>
      </c>
      <c r="G113" s="2" t="str">
        <f>IF($J113="","",INDEX('Transactions'!$F$1:$F$106,$J113))</f>
      </c>
      <c r="H113" s="2" t="str">
        <f>IF($J113="","",INDEX('Transactions'!$G$1:$G$106,$J113))</f>
      </c>
      <c r="I113" s="2" t="str">
        <f>IF($J113="","",INDEX('Transactions'!$J$1:$J$106,$J113))</f>
      </c>
      <c r="J113" s="2" t="str">
        <f>IF(OR($C$4="",$F$4&gt;$I$4),"",IFERROR(MATCH(107,'Transactions'!$M$7:$M$106,0)+6,""))</f>
      </c>
    </row>
    <row r="114" ht="24" customHeight="1">
      <c r="A114" s="2" t="str">
        <f>IF($J114="","",INDEX('Transactions'!$A$1:$A$106,$J114))</f>
      </c>
      <c r="B114" s="26" t="str">
        <f>IF($J114="","",INDEX('Transactions'!$B$1:$B$106,$J114))</f>
      </c>
      <c r="C114" s="2" t="str">
        <f>IF($J114="","",INDEX('Transactions'!$K$1:$K$106,$J114))</f>
      </c>
      <c r="D114" s="2" t="str">
        <f>IF($J114="","",INDEX('Transactions'!$D$1:$D$106,$J114))</f>
      </c>
      <c r="E114" s="2" t="str">
        <f>IF($J114="","",INDEX('Transactions'!$E$1:$E$106,$J114))</f>
      </c>
      <c r="F114" s="2" t="str">
        <f>IF($J114="","",INDEX('Transactions'!$I$1:$I$106,$J114))</f>
      </c>
      <c r="G114" s="2" t="str">
        <f>IF($J114="","",INDEX('Transactions'!$F$1:$F$106,$J114))</f>
      </c>
      <c r="H114" s="2" t="str">
        <f>IF($J114="","",INDEX('Transactions'!$G$1:$G$106,$J114))</f>
      </c>
      <c r="I114" s="2" t="str">
        <f>IF($J114="","",INDEX('Transactions'!$J$1:$J$106,$J114))</f>
      </c>
      <c r="J114" s="2" t="str">
        <f>IF(OR($C$4="",$F$4&gt;$I$4),"",IFERROR(MATCH(108,'Transactions'!$M$7:$M$106,0)+6,""))</f>
      </c>
    </row>
    <row r="115" ht="24" customHeight="1">
      <c r="A115" s="2" t="str">
        <f>IF($J115="","",INDEX('Transactions'!$A$1:$A$106,$J115))</f>
      </c>
      <c r="B115" s="26" t="str">
        <f>IF($J115="","",INDEX('Transactions'!$B$1:$B$106,$J115))</f>
      </c>
      <c r="C115" s="2" t="str">
        <f>IF($J115="","",INDEX('Transactions'!$K$1:$K$106,$J115))</f>
      </c>
      <c r="D115" s="2" t="str">
        <f>IF($J115="","",INDEX('Transactions'!$D$1:$D$106,$J115))</f>
      </c>
      <c r="E115" s="2" t="str">
        <f>IF($J115="","",INDEX('Transactions'!$E$1:$E$106,$J115))</f>
      </c>
      <c r="F115" s="2" t="str">
        <f>IF($J115="","",INDEX('Transactions'!$I$1:$I$106,$J115))</f>
      </c>
      <c r="G115" s="2" t="str">
        <f>IF($J115="","",INDEX('Transactions'!$F$1:$F$106,$J115))</f>
      </c>
      <c r="H115" s="2" t="str">
        <f>IF($J115="","",INDEX('Transactions'!$G$1:$G$106,$J115))</f>
      </c>
      <c r="I115" s="2" t="str">
        <f>IF($J115="","",INDEX('Transactions'!$J$1:$J$106,$J115))</f>
      </c>
      <c r="J115" s="2" t="str">
        <f>IF(OR($C$4="",$F$4&gt;$I$4),"",IFERROR(MATCH(109,'Transactions'!$M$7:$M$106,0)+6,""))</f>
      </c>
    </row>
    <row r="116" ht="24" customHeight="1">
      <c r="A116" s="2" t="str">
        <f>IF($J116="","",INDEX('Transactions'!$A$1:$A$106,$J116))</f>
      </c>
      <c r="B116" s="26" t="str">
        <f>IF($J116="","",INDEX('Transactions'!$B$1:$B$106,$J116))</f>
      </c>
      <c r="C116" s="2" t="str">
        <f>IF($J116="","",INDEX('Transactions'!$K$1:$K$106,$J116))</f>
      </c>
      <c r="D116" s="2" t="str">
        <f>IF($J116="","",INDEX('Transactions'!$D$1:$D$106,$J116))</f>
      </c>
      <c r="E116" s="2" t="str">
        <f>IF($J116="","",INDEX('Transactions'!$E$1:$E$106,$J116))</f>
      </c>
      <c r="F116" s="2" t="str">
        <f>IF($J116="","",INDEX('Transactions'!$I$1:$I$106,$J116))</f>
      </c>
      <c r="G116" s="2" t="str">
        <f>IF($J116="","",INDEX('Transactions'!$F$1:$F$106,$J116))</f>
      </c>
      <c r="H116" s="2" t="str">
        <f>IF($J116="","",INDEX('Transactions'!$G$1:$G$106,$J116))</f>
      </c>
      <c r="I116" s="2" t="str">
        <f>IF($J116="","",INDEX('Transactions'!$J$1:$J$106,$J116))</f>
      </c>
      <c r="J116" s="2" t="str">
        <f>IF(OR($C$4="",$F$4&gt;$I$4),"",IFERROR(MATCH(110,'Transactions'!$M$7:$M$106,0)+6,""))</f>
      </c>
    </row>
    <row r="117" ht="24" customHeight="1">
      <c r="A117" s="2" t="str">
        <f>IF($J117="","",INDEX('Transactions'!$A$1:$A$106,$J117))</f>
      </c>
      <c r="B117" s="26" t="str">
        <f>IF($J117="","",INDEX('Transactions'!$B$1:$B$106,$J117))</f>
      </c>
      <c r="C117" s="2" t="str">
        <f>IF($J117="","",INDEX('Transactions'!$K$1:$K$106,$J117))</f>
      </c>
      <c r="D117" s="2" t="str">
        <f>IF($J117="","",INDEX('Transactions'!$D$1:$D$106,$J117))</f>
      </c>
      <c r="E117" s="2" t="str">
        <f>IF($J117="","",INDEX('Transactions'!$E$1:$E$106,$J117))</f>
      </c>
      <c r="F117" s="2" t="str">
        <f>IF($J117="","",INDEX('Transactions'!$I$1:$I$106,$J117))</f>
      </c>
      <c r="G117" s="2" t="str">
        <f>IF($J117="","",INDEX('Transactions'!$F$1:$F$106,$J117))</f>
      </c>
      <c r="H117" s="2" t="str">
        <f>IF($J117="","",INDEX('Transactions'!$G$1:$G$106,$J117))</f>
      </c>
      <c r="I117" s="2" t="str">
        <f>IF($J117="","",INDEX('Transactions'!$J$1:$J$106,$J117))</f>
      </c>
      <c r="J117" s="2" t="str">
        <f>IF(OR($C$4="",$F$4&gt;$I$4),"",IFERROR(MATCH(111,'Transactions'!$M$7:$M$106,0)+6,""))</f>
      </c>
    </row>
    <row r="118" ht="24" customHeight="1">
      <c r="A118" s="2" t="str">
        <f>IF($J118="","",INDEX('Transactions'!$A$1:$A$106,$J118))</f>
      </c>
      <c r="B118" s="26" t="str">
        <f>IF($J118="","",INDEX('Transactions'!$B$1:$B$106,$J118))</f>
      </c>
      <c r="C118" s="2" t="str">
        <f>IF($J118="","",INDEX('Transactions'!$K$1:$K$106,$J118))</f>
      </c>
      <c r="D118" s="2" t="str">
        <f>IF($J118="","",INDEX('Transactions'!$D$1:$D$106,$J118))</f>
      </c>
      <c r="E118" s="2" t="str">
        <f>IF($J118="","",INDEX('Transactions'!$E$1:$E$106,$J118))</f>
      </c>
      <c r="F118" s="2" t="str">
        <f>IF($J118="","",INDEX('Transactions'!$I$1:$I$106,$J118))</f>
      </c>
      <c r="G118" s="2" t="str">
        <f>IF($J118="","",INDEX('Transactions'!$F$1:$F$106,$J118))</f>
      </c>
      <c r="H118" s="2" t="str">
        <f>IF($J118="","",INDEX('Transactions'!$G$1:$G$106,$J118))</f>
      </c>
      <c r="I118" s="2" t="str">
        <f>IF($J118="","",INDEX('Transactions'!$J$1:$J$106,$J118))</f>
      </c>
      <c r="J118" s="2" t="str">
        <f>IF(OR($C$4="",$F$4&gt;$I$4),"",IFERROR(MATCH(112,'Transactions'!$M$7:$M$106,0)+6,""))</f>
      </c>
    </row>
    <row r="119" ht="24" customHeight="1">
      <c r="A119" s="2" t="str">
        <f>IF($J119="","",INDEX('Transactions'!$A$1:$A$106,$J119))</f>
      </c>
      <c r="B119" s="26" t="str">
        <f>IF($J119="","",INDEX('Transactions'!$B$1:$B$106,$J119))</f>
      </c>
      <c r="C119" s="2" t="str">
        <f>IF($J119="","",INDEX('Transactions'!$K$1:$K$106,$J119))</f>
      </c>
      <c r="D119" s="2" t="str">
        <f>IF($J119="","",INDEX('Transactions'!$D$1:$D$106,$J119))</f>
      </c>
      <c r="E119" s="2" t="str">
        <f>IF($J119="","",INDEX('Transactions'!$E$1:$E$106,$J119))</f>
      </c>
      <c r="F119" s="2" t="str">
        <f>IF($J119="","",INDEX('Transactions'!$I$1:$I$106,$J119))</f>
      </c>
      <c r="G119" s="2" t="str">
        <f>IF($J119="","",INDEX('Transactions'!$F$1:$F$106,$J119))</f>
      </c>
      <c r="H119" s="2" t="str">
        <f>IF($J119="","",INDEX('Transactions'!$G$1:$G$106,$J119))</f>
      </c>
      <c r="I119" s="2" t="str">
        <f>IF($J119="","",INDEX('Transactions'!$J$1:$J$106,$J119))</f>
      </c>
      <c r="J119" s="2" t="str">
        <f>IF(OR($C$4="",$F$4&gt;$I$4),"",IFERROR(MATCH(113,'Transactions'!$M$7:$M$106,0)+6,""))</f>
      </c>
    </row>
    <row r="120" ht="24" customHeight="1">
      <c r="A120" s="2" t="str">
        <f>IF($J120="","",INDEX('Transactions'!$A$1:$A$106,$J120))</f>
      </c>
      <c r="B120" s="26" t="str">
        <f>IF($J120="","",INDEX('Transactions'!$B$1:$B$106,$J120))</f>
      </c>
      <c r="C120" s="2" t="str">
        <f>IF($J120="","",INDEX('Transactions'!$K$1:$K$106,$J120))</f>
      </c>
      <c r="D120" s="2" t="str">
        <f>IF($J120="","",INDEX('Transactions'!$D$1:$D$106,$J120))</f>
      </c>
      <c r="E120" s="2" t="str">
        <f>IF($J120="","",INDEX('Transactions'!$E$1:$E$106,$J120))</f>
      </c>
      <c r="F120" s="2" t="str">
        <f>IF($J120="","",INDEX('Transactions'!$I$1:$I$106,$J120))</f>
      </c>
      <c r="G120" s="2" t="str">
        <f>IF($J120="","",INDEX('Transactions'!$F$1:$F$106,$J120))</f>
      </c>
      <c r="H120" s="2" t="str">
        <f>IF($J120="","",INDEX('Transactions'!$G$1:$G$106,$J120))</f>
      </c>
      <c r="I120" s="2" t="str">
        <f>IF($J120="","",INDEX('Transactions'!$J$1:$J$106,$J120))</f>
      </c>
      <c r="J120" s="2" t="str">
        <f>IF(OR($C$4="",$F$4&gt;$I$4),"",IFERROR(MATCH(114,'Transactions'!$M$7:$M$106,0)+6,""))</f>
      </c>
    </row>
    <row r="121" ht="24" customHeight="1">
      <c r="A121" s="2" t="str">
        <f>IF($J121="","",INDEX('Transactions'!$A$1:$A$106,$J121))</f>
      </c>
      <c r="B121" s="26" t="str">
        <f>IF($J121="","",INDEX('Transactions'!$B$1:$B$106,$J121))</f>
      </c>
      <c r="C121" s="2" t="str">
        <f>IF($J121="","",INDEX('Transactions'!$K$1:$K$106,$J121))</f>
      </c>
      <c r="D121" s="2" t="str">
        <f>IF($J121="","",INDEX('Transactions'!$D$1:$D$106,$J121))</f>
      </c>
      <c r="E121" s="2" t="str">
        <f>IF($J121="","",INDEX('Transactions'!$E$1:$E$106,$J121))</f>
      </c>
      <c r="F121" s="2" t="str">
        <f>IF($J121="","",INDEX('Transactions'!$I$1:$I$106,$J121))</f>
      </c>
      <c r="G121" s="2" t="str">
        <f>IF($J121="","",INDEX('Transactions'!$F$1:$F$106,$J121))</f>
      </c>
      <c r="H121" s="2" t="str">
        <f>IF($J121="","",INDEX('Transactions'!$G$1:$G$106,$J121))</f>
      </c>
      <c r="I121" s="2" t="str">
        <f>IF($J121="","",INDEX('Transactions'!$J$1:$J$106,$J121))</f>
      </c>
      <c r="J121" s="2" t="str">
        <f>IF(OR($C$4="",$F$4&gt;$I$4),"",IFERROR(MATCH(115,'Transactions'!$M$7:$M$106,0)+6,""))</f>
      </c>
    </row>
    <row r="122" ht="24" customHeight="1">
      <c r="A122" s="2" t="str">
        <f>IF($J122="","",INDEX('Transactions'!$A$1:$A$106,$J122))</f>
      </c>
      <c r="B122" s="26" t="str">
        <f>IF($J122="","",INDEX('Transactions'!$B$1:$B$106,$J122))</f>
      </c>
      <c r="C122" s="2" t="str">
        <f>IF($J122="","",INDEX('Transactions'!$K$1:$K$106,$J122))</f>
      </c>
      <c r="D122" s="2" t="str">
        <f>IF($J122="","",INDEX('Transactions'!$D$1:$D$106,$J122))</f>
      </c>
      <c r="E122" s="2" t="str">
        <f>IF($J122="","",INDEX('Transactions'!$E$1:$E$106,$J122))</f>
      </c>
      <c r="F122" s="2" t="str">
        <f>IF($J122="","",INDEX('Transactions'!$I$1:$I$106,$J122))</f>
      </c>
      <c r="G122" s="2" t="str">
        <f>IF($J122="","",INDEX('Transactions'!$F$1:$F$106,$J122))</f>
      </c>
      <c r="H122" s="2" t="str">
        <f>IF($J122="","",INDEX('Transactions'!$G$1:$G$106,$J122))</f>
      </c>
      <c r="I122" s="2" t="str">
        <f>IF($J122="","",INDEX('Transactions'!$J$1:$J$106,$J122))</f>
      </c>
      <c r="J122" s="2" t="str">
        <f>IF(OR($C$4="",$F$4&gt;$I$4),"",IFERROR(MATCH(116,'Transactions'!$M$7:$M$106,0)+6,""))</f>
      </c>
    </row>
    <row r="123" ht="24" customHeight="1">
      <c r="A123" s="2" t="str">
        <f>IF($J123="","",INDEX('Transactions'!$A$1:$A$106,$J123))</f>
      </c>
      <c r="B123" s="26" t="str">
        <f>IF($J123="","",INDEX('Transactions'!$B$1:$B$106,$J123))</f>
      </c>
      <c r="C123" s="2" t="str">
        <f>IF($J123="","",INDEX('Transactions'!$K$1:$K$106,$J123))</f>
      </c>
      <c r="D123" s="2" t="str">
        <f>IF($J123="","",INDEX('Transactions'!$D$1:$D$106,$J123))</f>
      </c>
      <c r="E123" s="2" t="str">
        <f>IF($J123="","",INDEX('Transactions'!$E$1:$E$106,$J123))</f>
      </c>
      <c r="F123" s="2" t="str">
        <f>IF($J123="","",INDEX('Transactions'!$I$1:$I$106,$J123))</f>
      </c>
      <c r="G123" s="2" t="str">
        <f>IF($J123="","",INDEX('Transactions'!$F$1:$F$106,$J123))</f>
      </c>
      <c r="H123" s="2" t="str">
        <f>IF($J123="","",INDEX('Transactions'!$G$1:$G$106,$J123))</f>
      </c>
      <c r="I123" s="2" t="str">
        <f>IF($J123="","",INDEX('Transactions'!$J$1:$J$106,$J123))</f>
      </c>
      <c r="J123" s="2" t="str">
        <f>IF(OR($C$4="",$F$4&gt;$I$4),"",IFERROR(MATCH(117,'Transactions'!$M$7:$M$106,0)+6,""))</f>
      </c>
    </row>
    <row r="124" ht="24" customHeight="1">
      <c r="A124" s="2" t="str">
        <f>IF($J124="","",INDEX('Transactions'!$A$1:$A$106,$J124))</f>
      </c>
      <c r="B124" s="26" t="str">
        <f>IF($J124="","",INDEX('Transactions'!$B$1:$B$106,$J124))</f>
      </c>
      <c r="C124" s="2" t="str">
        <f>IF($J124="","",INDEX('Transactions'!$K$1:$K$106,$J124))</f>
      </c>
      <c r="D124" s="2" t="str">
        <f>IF($J124="","",INDEX('Transactions'!$D$1:$D$106,$J124))</f>
      </c>
      <c r="E124" s="2" t="str">
        <f>IF($J124="","",INDEX('Transactions'!$E$1:$E$106,$J124))</f>
      </c>
      <c r="F124" s="2" t="str">
        <f>IF($J124="","",INDEX('Transactions'!$I$1:$I$106,$J124))</f>
      </c>
      <c r="G124" s="2" t="str">
        <f>IF($J124="","",INDEX('Transactions'!$F$1:$F$106,$J124))</f>
      </c>
      <c r="H124" s="2" t="str">
        <f>IF($J124="","",INDEX('Transactions'!$G$1:$G$106,$J124))</f>
      </c>
      <c r="I124" s="2" t="str">
        <f>IF($J124="","",INDEX('Transactions'!$J$1:$J$106,$J124))</f>
      </c>
      <c r="J124" s="2" t="str">
        <f>IF(OR($C$4="",$F$4&gt;$I$4),"",IFERROR(MATCH(118,'Transactions'!$M$7:$M$106,0)+6,""))</f>
      </c>
    </row>
    <row r="125" ht="24" customHeight="1">
      <c r="A125" s="2" t="str">
        <f>IF($J125="","",INDEX('Transactions'!$A$1:$A$106,$J125))</f>
      </c>
      <c r="B125" s="26" t="str">
        <f>IF($J125="","",INDEX('Transactions'!$B$1:$B$106,$J125))</f>
      </c>
      <c r="C125" s="2" t="str">
        <f>IF($J125="","",INDEX('Transactions'!$K$1:$K$106,$J125))</f>
      </c>
      <c r="D125" s="2" t="str">
        <f>IF($J125="","",INDEX('Transactions'!$D$1:$D$106,$J125))</f>
      </c>
      <c r="E125" s="2" t="str">
        <f>IF($J125="","",INDEX('Transactions'!$E$1:$E$106,$J125))</f>
      </c>
      <c r="F125" s="2" t="str">
        <f>IF($J125="","",INDEX('Transactions'!$I$1:$I$106,$J125))</f>
      </c>
      <c r="G125" s="2" t="str">
        <f>IF($J125="","",INDEX('Transactions'!$F$1:$F$106,$J125))</f>
      </c>
      <c r="H125" s="2" t="str">
        <f>IF($J125="","",INDEX('Transactions'!$G$1:$G$106,$J125))</f>
      </c>
      <c r="I125" s="2" t="str">
        <f>IF($J125="","",INDEX('Transactions'!$J$1:$J$106,$J125))</f>
      </c>
      <c r="J125" s="2" t="str">
        <f>IF(OR($C$4="",$F$4&gt;$I$4),"",IFERROR(MATCH(119,'Transactions'!$M$7:$M$106,0)+6,""))</f>
      </c>
    </row>
    <row r="126" ht="24" customHeight="1">
      <c r="A126" s="2" t="str">
        <f>IF($J126="","",INDEX('Transactions'!$A$1:$A$106,$J126))</f>
      </c>
      <c r="B126" s="26" t="str">
        <f>IF($J126="","",INDEX('Transactions'!$B$1:$B$106,$J126))</f>
      </c>
      <c r="C126" s="2" t="str">
        <f>IF($J126="","",INDEX('Transactions'!$K$1:$K$106,$J126))</f>
      </c>
      <c r="D126" s="2" t="str">
        <f>IF($J126="","",INDEX('Transactions'!$D$1:$D$106,$J126))</f>
      </c>
      <c r="E126" s="2" t="str">
        <f>IF($J126="","",INDEX('Transactions'!$E$1:$E$106,$J126))</f>
      </c>
      <c r="F126" s="2" t="str">
        <f>IF($J126="","",INDEX('Transactions'!$I$1:$I$106,$J126))</f>
      </c>
      <c r="G126" s="2" t="str">
        <f>IF($J126="","",INDEX('Transactions'!$F$1:$F$106,$J126))</f>
      </c>
      <c r="H126" s="2" t="str">
        <f>IF($J126="","",INDEX('Transactions'!$G$1:$G$106,$J126))</f>
      </c>
      <c r="I126" s="2" t="str">
        <f>IF($J126="","",INDEX('Transactions'!$J$1:$J$106,$J126))</f>
      </c>
      <c r="J126" s="2" t="str">
        <f>IF(OR($C$4="",$F$4&gt;$I$4),"",IFERROR(MATCH(120,'Transactions'!$M$7:$M$106,0)+6,""))</f>
      </c>
    </row>
    <row r="127" ht="24" customHeight="1">
      <c r="A127" s="2" t="str">
        <f>IF($J127="","",INDEX('Transactions'!$A$1:$A$106,$J127))</f>
      </c>
      <c r="B127" s="26" t="str">
        <f>IF($J127="","",INDEX('Transactions'!$B$1:$B$106,$J127))</f>
      </c>
      <c r="C127" s="2" t="str">
        <f>IF($J127="","",INDEX('Transactions'!$K$1:$K$106,$J127))</f>
      </c>
      <c r="D127" s="2" t="str">
        <f>IF($J127="","",INDEX('Transactions'!$D$1:$D$106,$J127))</f>
      </c>
      <c r="E127" s="2" t="str">
        <f>IF($J127="","",INDEX('Transactions'!$E$1:$E$106,$J127))</f>
      </c>
      <c r="F127" s="2" t="str">
        <f>IF($J127="","",INDEX('Transactions'!$I$1:$I$106,$J127))</f>
      </c>
      <c r="G127" s="2" t="str">
        <f>IF($J127="","",INDEX('Transactions'!$F$1:$F$106,$J127))</f>
      </c>
      <c r="H127" s="2" t="str">
        <f>IF($J127="","",INDEX('Transactions'!$G$1:$G$106,$J127))</f>
      </c>
      <c r="I127" s="2" t="str">
        <f>IF($J127="","",INDEX('Transactions'!$J$1:$J$106,$J127))</f>
      </c>
      <c r="J127" s="2" t="str">
        <f>IF(OR($C$4="",$F$4&gt;$I$4),"",IFERROR(MATCH(121,'Transactions'!$M$7:$M$106,0)+6,""))</f>
      </c>
    </row>
    <row r="128" ht="24" customHeight="1">
      <c r="A128" s="2" t="str">
        <f>IF($J128="","",INDEX('Transactions'!$A$1:$A$106,$J128))</f>
      </c>
      <c r="B128" s="26" t="str">
        <f>IF($J128="","",INDEX('Transactions'!$B$1:$B$106,$J128))</f>
      </c>
      <c r="C128" s="2" t="str">
        <f>IF($J128="","",INDEX('Transactions'!$K$1:$K$106,$J128))</f>
      </c>
      <c r="D128" s="2" t="str">
        <f>IF($J128="","",INDEX('Transactions'!$D$1:$D$106,$J128))</f>
      </c>
      <c r="E128" s="2" t="str">
        <f>IF($J128="","",INDEX('Transactions'!$E$1:$E$106,$J128))</f>
      </c>
      <c r="F128" s="2" t="str">
        <f>IF($J128="","",INDEX('Transactions'!$I$1:$I$106,$J128))</f>
      </c>
      <c r="G128" s="2" t="str">
        <f>IF($J128="","",INDEX('Transactions'!$F$1:$F$106,$J128))</f>
      </c>
      <c r="H128" s="2" t="str">
        <f>IF($J128="","",INDEX('Transactions'!$G$1:$G$106,$J128))</f>
      </c>
      <c r="I128" s="2" t="str">
        <f>IF($J128="","",INDEX('Transactions'!$J$1:$J$106,$J128))</f>
      </c>
      <c r="J128" s="2" t="str">
        <f>IF(OR($C$4="",$F$4&gt;$I$4),"",IFERROR(MATCH(122,'Transactions'!$M$7:$M$106,0)+6,""))</f>
      </c>
    </row>
    <row r="129" ht="24" customHeight="1">
      <c r="A129" s="2" t="str">
        <f>IF($J129="","",INDEX('Transactions'!$A$1:$A$106,$J129))</f>
      </c>
      <c r="B129" s="26" t="str">
        <f>IF($J129="","",INDEX('Transactions'!$B$1:$B$106,$J129))</f>
      </c>
      <c r="C129" s="2" t="str">
        <f>IF($J129="","",INDEX('Transactions'!$K$1:$K$106,$J129))</f>
      </c>
      <c r="D129" s="2" t="str">
        <f>IF($J129="","",INDEX('Transactions'!$D$1:$D$106,$J129))</f>
      </c>
      <c r="E129" s="2" t="str">
        <f>IF($J129="","",INDEX('Transactions'!$E$1:$E$106,$J129))</f>
      </c>
      <c r="F129" s="2" t="str">
        <f>IF($J129="","",INDEX('Transactions'!$I$1:$I$106,$J129))</f>
      </c>
      <c r="G129" s="2" t="str">
        <f>IF($J129="","",INDEX('Transactions'!$F$1:$F$106,$J129))</f>
      </c>
      <c r="H129" s="2" t="str">
        <f>IF($J129="","",INDEX('Transactions'!$G$1:$G$106,$J129))</f>
      </c>
      <c r="I129" s="2" t="str">
        <f>IF($J129="","",INDEX('Transactions'!$J$1:$J$106,$J129))</f>
      </c>
      <c r="J129" s="2" t="str">
        <f>IF(OR($C$4="",$F$4&gt;$I$4),"",IFERROR(MATCH(123,'Transactions'!$M$7:$M$106,0)+6,""))</f>
      </c>
    </row>
    <row r="130" ht="24" customHeight="1">
      <c r="A130" s="2" t="str">
        <f>IF($J130="","",INDEX('Transactions'!$A$1:$A$106,$J130))</f>
      </c>
      <c r="B130" s="26" t="str">
        <f>IF($J130="","",INDEX('Transactions'!$B$1:$B$106,$J130))</f>
      </c>
      <c r="C130" s="2" t="str">
        <f>IF($J130="","",INDEX('Transactions'!$K$1:$K$106,$J130))</f>
      </c>
      <c r="D130" s="2" t="str">
        <f>IF($J130="","",INDEX('Transactions'!$D$1:$D$106,$J130))</f>
      </c>
      <c r="E130" s="2" t="str">
        <f>IF($J130="","",INDEX('Transactions'!$E$1:$E$106,$J130))</f>
      </c>
      <c r="F130" s="2" t="str">
        <f>IF($J130="","",INDEX('Transactions'!$I$1:$I$106,$J130))</f>
      </c>
      <c r="G130" s="2" t="str">
        <f>IF($J130="","",INDEX('Transactions'!$F$1:$F$106,$J130))</f>
      </c>
      <c r="H130" s="2" t="str">
        <f>IF($J130="","",INDEX('Transactions'!$G$1:$G$106,$J130))</f>
      </c>
      <c r="I130" s="2" t="str">
        <f>IF($J130="","",INDEX('Transactions'!$J$1:$J$106,$J130))</f>
      </c>
      <c r="J130" s="2" t="str">
        <f>IF(OR($C$4="",$F$4&gt;$I$4),"",IFERROR(MATCH(124,'Transactions'!$M$7:$M$106,0)+6,""))</f>
      </c>
    </row>
    <row r="131" ht="24" customHeight="1">
      <c r="A131" s="2" t="str">
        <f>IF($J131="","",INDEX('Transactions'!$A$1:$A$106,$J131))</f>
      </c>
      <c r="B131" s="26" t="str">
        <f>IF($J131="","",INDEX('Transactions'!$B$1:$B$106,$J131))</f>
      </c>
      <c r="C131" s="2" t="str">
        <f>IF($J131="","",INDEX('Transactions'!$K$1:$K$106,$J131))</f>
      </c>
      <c r="D131" s="2" t="str">
        <f>IF($J131="","",INDEX('Transactions'!$D$1:$D$106,$J131))</f>
      </c>
      <c r="E131" s="2" t="str">
        <f>IF($J131="","",INDEX('Transactions'!$E$1:$E$106,$J131))</f>
      </c>
      <c r="F131" s="2" t="str">
        <f>IF($J131="","",INDEX('Transactions'!$I$1:$I$106,$J131))</f>
      </c>
      <c r="G131" s="2" t="str">
        <f>IF($J131="","",INDEX('Transactions'!$F$1:$F$106,$J131))</f>
      </c>
      <c r="H131" s="2" t="str">
        <f>IF($J131="","",INDEX('Transactions'!$G$1:$G$106,$J131))</f>
      </c>
      <c r="I131" s="2" t="str">
        <f>IF($J131="","",INDEX('Transactions'!$J$1:$J$106,$J131))</f>
      </c>
      <c r="J131" s="2" t="str">
        <f>IF(OR($C$4="",$F$4&gt;$I$4),"",IFERROR(MATCH(125,'Transactions'!$M$7:$M$106,0)+6,""))</f>
      </c>
    </row>
    <row r="132" ht="24" customHeight="1">
      <c r="A132" s="2" t="str">
        <f>IF($J132="","",INDEX('Transactions'!$A$1:$A$106,$J132))</f>
      </c>
      <c r="B132" s="26" t="str">
        <f>IF($J132="","",INDEX('Transactions'!$B$1:$B$106,$J132))</f>
      </c>
      <c r="C132" s="2" t="str">
        <f>IF($J132="","",INDEX('Transactions'!$K$1:$K$106,$J132))</f>
      </c>
      <c r="D132" s="2" t="str">
        <f>IF($J132="","",INDEX('Transactions'!$D$1:$D$106,$J132))</f>
      </c>
      <c r="E132" s="2" t="str">
        <f>IF($J132="","",INDEX('Transactions'!$E$1:$E$106,$J132))</f>
      </c>
      <c r="F132" s="2" t="str">
        <f>IF($J132="","",INDEX('Transactions'!$I$1:$I$106,$J132))</f>
      </c>
      <c r="G132" s="2" t="str">
        <f>IF($J132="","",INDEX('Transactions'!$F$1:$F$106,$J132))</f>
      </c>
      <c r="H132" s="2" t="str">
        <f>IF($J132="","",INDEX('Transactions'!$G$1:$G$106,$J132))</f>
      </c>
      <c r="I132" s="2" t="str">
        <f>IF($J132="","",INDEX('Transactions'!$J$1:$J$106,$J132))</f>
      </c>
      <c r="J132" s="2" t="str">
        <f>IF(OR($C$4="",$F$4&gt;$I$4),"",IFERROR(MATCH(126,'Transactions'!$M$7:$M$106,0)+6,""))</f>
      </c>
    </row>
    <row r="133" ht="24" customHeight="1">
      <c r="A133" s="2" t="str">
        <f>IF($J133="","",INDEX('Transactions'!$A$1:$A$106,$J133))</f>
      </c>
      <c r="B133" s="26" t="str">
        <f>IF($J133="","",INDEX('Transactions'!$B$1:$B$106,$J133))</f>
      </c>
      <c r="C133" s="2" t="str">
        <f>IF($J133="","",INDEX('Transactions'!$K$1:$K$106,$J133))</f>
      </c>
      <c r="D133" s="2" t="str">
        <f>IF($J133="","",INDEX('Transactions'!$D$1:$D$106,$J133))</f>
      </c>
      <c r="E133" s="2" t="str">
        <f>IF($J133="","",INDEX('Transactions'!$E$1:$E$106,$J133))</f>
      </c>
      <c r="F133" s="2" t="str">
        <f>IF($J133="","",INDEX('Transactions'!$I$1:$I$106,$J133))</f>
      </c>
      <c r="G133" s="2" t="str">
        <f>IF($J133="","",INDEX('Transactions'!$F$1:$F$106,$J133))</f>
      </c>
      <c r="H133" s="2" t="str">
        <f>IF($J133="","",INDEX('Transactions'!$G$1:$G$106,$J133))</f>
      </c>
      <c r="I133" s="2" t="str">
        <f>IF($J133="","",INDEX('Transactions'!$J$1:$J$106,$J133))</f>
      </c>
      <c r="J133" s="2" t="str">
        <f>IF(OR($C$4="",$F$4&gt;$I$4),"",IFERROR(MATCH(127,'Transactions'!$M$7:$M$106,0)+6,""))</f>
      </c>
    </row>
    <row r="134" ht="24" customHeight="1">
      <c r="A134" s="2" t="str">
        <f>IF($J134="","",INDEX('Transactions'!$A$1:$A$106,$J134))</f>
      </c>
      <c r="B134" s="26" t="str">
        <f>IF($J134="","",INDEX('Transactions'!$B$1:$B$106,$J134))</f>
      </c>
      <c r="C134" s="2" t="str">
        <f>IF($J134="","",INDEX('Transactions'!$K$1:$K$106,$J134))</f>
      </c>
      <c r="D134" s="2" t="str">
        <f>IF($J134="","",INDEX('Transactions'!$D$1:$D$106,$J134))</f>
      </c>
      <c r="E134" s="2" t="str">
        <f>IF($J134="","",INDEX('Transactions'!$E$1:$E$106,$J134))</f>
      </c>
      <c r="F134" s="2" t="str">
        <f>IF($J134="","",INDEX('Transactions'!$I$1:$I$106,$J134))</f>
      </c>
      <c r="G134" s="2" t="str">
        <f>IF($J134="","",INDEX('Transactions'!$F$1:$F$106,$J134))</f>
      </c>
      <c r="H134" s="2" t="str">
        <f>IF($J134="","",INDEX('Transactions'!$G$1:$G$106,$J134))</f>
      </c>
      <c r="I134" s="2" t="str">
        <f>IF($J134="","",INDEX('Transactions'!$J$1:$J$106,$J134))</f>
      </c>
      <c r="J134" s="2" t="str">
        <f>IF(OR($C$4="",$F$4&gt;$I$4),"",IFERROR(MATCH(128,'Transactions'!$M$7:$M$106,0)+6,""))</f>
      </c>
    </row>
    <row r="135" ht="24" customHeight="1">
      <c r="A135" s="2" t="str">
        <f>IF($J135="","",INDEX('Transactions'!$A$1:$A$106,$J135))</f>
      </c>
      <c r="B135" s="26" t="str">
        <f>IF($J135="","",INDEX('Transactions'!$B$1:$B$106,$J135))</f>
      </c>
      <c r="C135" s="2" t="str">
        <f>IF($J135="","",INDEX('Transactions'!$K$1:$K$106,$J135))</f>
      </c>
      <c r="D135" s="2" t="str">
        <f>IF($J135="","",INDEX('Transactions'!$D$1:$D$106,$J135))</f>
      </c>
      <c r="E135" s="2" t="str">
        <f>IF($J135="","",INDEX('Transactions'!$E$1:$E$106,$J135))</f>
      </c>
      <c r="F135" s="2" t="str">
        <f>IF($J135="","",INDEX('Transactions'!$I$1:$I$106,$J135))</f>
      </c>
      <c r="G135" s="2" t="str">
        <f>IF($J135="","",INDEX('Transactions'!$F$1:$F$106,$J135))</f>
      </c>
      <c r="H135" s="2" t="str">
        <f>IF($J135="","",INDEX('Transactions'!$G$1:$G$106,$J135))</f>
      </c>
      <c r="I135" s="2" t="str">
        <f>IF($J135="","",INDEX('Transactions'!$J$1:$J$106,$J135))</f>
      </c>
      <c r="J135" s="2" t="str">
        <f>IF(OR($C$4="",$F$4&gt;$I$4),"",IFERROR(MATCH(129,'Transactions'!$M$7:$M$106,0)+6,""))</f>
      </c>
    </row>
    <row r="136" ht="24" customHeight="1">
      <c r="A136" s="2" t="str">
        <f>IF($J136="","",INDEX('Transactions'!$A$1:$A$106,$J136))</f>
      </c>
      <c r="B136" s="26" t="str">
        <f>IF($J136="","",INDEX('Transactions'!$B$1:$B$106,$J136))</f>
      </c>
      <c r="C136" s="2" t="str">
        <f>IF($J136="","",INDEX('Transactions'!$K$1:$K$106,$J136))</f>
      </c>
      <c r="D136" s="2" t="str">
        <f>IF($J136="","",INDEX('Transactions'!$D$1:$D$106,$J136))</f>
      </c>
      <c r="E136" s="2" t="str">
        <f>IF($J136="","",INDEX('Transactions'!$E$1:$E$106,$J136))</f>
      </c>
      <c r="F136" s="2" t="str">
        <f>IF($J136="","",INDEX('Transactions'!$I$1:$I$106,$J136))</f>
      </c>
      <c r="G136" s="2" t="str">
        <f>IF($J136="","",INDEX('Transactions'!$F$1:$F$106,$J136))</f>
      </c>
      <c r="H136" s="2" t="str">
        <f>IF($J136="","",INDEX('Transactions'!$G$1:$G$106,$J136))</f>
      </c>
      <c r="I136" s="2" t="str">
        <f>IF($J136="","",INDEX('Transactions'!$J$1:$J$106,$J136))</f>
      </c>
      <c r="J136" s="2" t="str">
        <f>IF(OR($C$4="",$F$4&gt;$I$4),"",IFERROR(MATCH(130,'Transactions'!$M$7:$M$106,0)+6,""))</f>
      </c>
    </row>
    <row r="137" ht="24" customHeight="1">
      <c r="A137" s="2" t="str">
        <f>IF($J137="","",INDEX('Transactions'!$A$1:$A$106,$J137))</f>
      </c>
      <c r="B137" s="26" t="str">
        <f>IF($J137="","",INDEX('Transactions'!$B$1:$B$106,$J137))</f>
      </c>
      <c r="C137" s="2" t="str">
        <f>IF($J137="","",INDEX('Transactions'!$K$1:$K$106,$J137))</f>
      </c>
      <c r="D137" s="2" t="str">
        <f>IF($J137="","",INDEX('Transactions'!$D$1:$D$106,$J137))</f>
      </c>
      <c r="E137" s="2" t="str">
        <f>IF($J137="","",INDEX('Transactions'!$E$1:$E$106,$J137))</f>
      </c>
      <c r="F137" s="2" t="str">
        <f>IF($J137="","",INDEX('Transactions'!$I$1:$I$106,$J137))</f>
      </c>
      <c r="G137" s="2" t="str">
        <f>IF($J137="","",INDEX('Transactions'!$F$1:$F$106,$J137))</f>
      </c>
      <c r="H137" s="2" t="str">
        <f>IF($J137="","",INDEX('Transactions'!$G$1:$G$106,$J137))</f>
      </c>
      <c r="I137" s="2" t="str">
        <f>IF($J137="","",INDEX('Transactions'!$J$1:$J$106,$J137))</f>
      </c>
      <c r="J137" s="2" t="str">
        <f>IF(OR($C$4="",$F$4&gt;$I$4),"",IFERROR(MATCH(131,'Transactions'!$M$7:$M$106,0)+6,""))</f>
      </c>
    </row>
    <row r="138" ht="24" customHeight="1">
      <c r="A138" s="2" t="str">
        <f>IF($J138="","",INDEX('Transactions'!$A$1:$A$106,$J138))</f>
      </c>
      <c r="B138" s="26" t="str">
        <f>IF($J138="","",INDEX('Transactions'!$B$1:$B$106,$J138))</f>
      </c>
      <c r="C138" s="2" t="str">
        <f>IF($J138="","",INDEX('Transactions'!$K$1:$K$106,$J138))</f>
      </c>
      <c r="D138" s="2" t="str">
        <f>IF($J138="","",INDEX('Transactions'!$D$1:$D$106,$J138))</f>
      </c>
      <c r="E138" s="2" t="str">
        <f>IF($J138="","",INDEX('Transactions'!$E$1:$E$106,$J138))</f>
      </c>
      <c r="F138" s="2" t="str">
        <f>IF($J138="","",INDEX('Transactions'!$I$1:$I$106,$J138))</f>
      </c>
      <c r="G138" s="2" t="str">
        <f>IF($J138="","",INDEX('Transactions'!$F$1:$F$106,$J138))</f>
      </c>
      <c r="H138" s="2" t="str">
        <f>IF($J138="","",INDEX('Transactions'!$G$1:$G$106,$J138))</f>
      </c>
      <c r="I138" s="2" t="str">
        <f>IF($J138="","",INDEX('Transactions'!$J$1:$J$106,$J138))</f>
      </c>
      <c r="J138" s="2" t="str">
        <f>IF(OR($C$4="",$F$4&gt;$I$4),"",IFERROR(MATCH(132,'Transactions'!$M$7:$M$106,0)+6,""))</f>
      </c>
    </row>
    <row r="139" ht="24" customHeight="1">
      <c r="A139" s="2" t="str">
        <f>IF($J139="","",INDEX('Transactions'!$A$1:$A$106,$J139))</f>
      </c>
      <c r="B139" s="26" t="str">
        <f>IF($J139="","",INDEX('Transactions'!$B$1:$B$106,$J139))</f>
      </c>
      <c r="C139" s="2" t="str">
        <f>IF($J139="","",INDEX('Transactions'!$K$1:$K$106,$J139))</f>
      </c>
      <c r="D139" s="2" t="str">
        <f>IF($J139="","",INDEX('Transactions'!$D$1:$D$106,$J139))</f>
      </c>
      <c r="E139" s="2" t="str">
        <f>IF($J139="","",INDEX('Transactions'!$E$1:$E$106,$J139))</f>
      </c>
      <c r="F139" s="2" t="str">
        <f>IF($J139="","",INDEX('Transactions'!$I$1:$I$106,$J139))</f>
      </c>
      <c r="G139" s="2" t="str">
        <f>IF($J139="","",INDEX('Transactions'!$F$1:$F$106,$J139))</f>
      </c>
      <c r="H139" s="2" t="str">
        <f>IF($J139="","",INDEX('Transactions'!$G$1:$G$106,$J139))</f>
      </c>
      <c r="I139" s="2" t="str">
        <f>IF($J139="","",INDEX('Transactions'!$J$1:$J$106,$J139))</f>
      </c>
      <c r="J139" s="2" t="str">
        <f>IF(OR($C$4="",$F$4&gt;$I$4),"",IFERROR(MATCH(133,'Transactions'!$M$7:$M$106,0)+6,""))</f>
      </c>
    </row>
    <row r="140" ht="24" customHeight="1">
      <c r="A140" s="2" t="str">
        <f>IF($J140="","",INDEX('Transactions'!$A$1:$A$106,$J140))</f>
      </c>
      <c r="B140" s="26" t="str">
        <f>IF($J140="","",INDEX('Transactions'!$B$1:$B$106,$J140))</f>
      </c>
      <c r="C140" s="2" t="str">
        <f>IF($J140="","",INDEX('Transactions'!$K$1:$K$106,$J140))</f>
      </c>
      <c r="D140" s="2" t="str">
        <f>IF($J140="","",INDEX('Transactions'!$D$1:$D$106,$J140))</f>
      </c>
      <c r="E140" s="2" t="str">
        <f>IF($J140="","",INDEX('Transactions'!$E$1:$E$106,$J140))</f>
      </c>
      <c r="F140" s="2" t="str">
        <f>IF($J140="","",INDEX('Transactions'!$I$1:$I$106,$J140))</f>
      </c>
      <c r="G140" s="2" t="str">
        <f>IF($J140="","",INDEX('Transactions'!$F$1:$F$106,$J140))</f>
      </c>
      <c r="H140" s="2" t="str">
        <f>IF($J140="","",INDEX('Transactions'!$G$1:$G$106,$J140))</f>
      </c>
      <c r="I140" s="2" t="str">
        <f>IF($J140="","",INDEX('Transactions'!$J$1:$J$106,$J140))</f>
      </c>
      <c r="J140" s="2" t="str">
        <f>IF(OR($C$4="",$F$4&gt;$I$4),"",IFERROR(MATCH(134,'Transactions'!$M$7:$M$106,0)+6,""))</f>
      </c>
    </row>
    <row r="141" ht="24" customHeight="1">
      <c r="A141" s="2" t="str">
        <f>IF($J141="","",INDEX('Transactions'!$A$1:$A$106,$J141))</f>
      </c>
      <c r="B141" s="26" t="str">
        <f>IF($J141="","",INDEX('Transactions'!$B$1:$B$106,$J141))</f>
      </c>
      <c r="C141" s="2" t="str">
        <f>IF($J141="","",INDEX('Transactions'!$K$1:$K$106,$J141))</f>
      </c>
      <c r="D141" s="2" t="str">
        <f>IF($J141="","",INDEX('Transactions'!$D$1:$D$106,$J141))</f>
      </c>
      <c r="E141" s="2" t="str">
        <f>IF($J141="","",INDEX('Transactions'!$E$1:$E$106,$J141))</f>
      </c>
      <c r="F141" s="2" t="str">
        <f>IF($J141="","",INDEX('Transactions'!$I$1:$I$106,$J141))</f>
      </c>
      <c r="G141" s="2" t="str">
        <f>IF($J141="","",INDEX('Transactions'!$F$1:$F$106,$J141))</f>
      </c>
      <c r="H141" s="2" t="str">
        <f>IF($J141="","",INDEX('Transactions'!$G$1:$G$106,$J141))</f>
      </c>
      <c r="I141" s="2" t="str">
        <f>IF($J141="","",INDEX('Transactions'!$J$1:$J$106,$J141))</f>
      </c>
      <c r="J141" s="2" t="str">
        <f>IF(OR($C$4="",$F$4&gt;$I$4),"",IFERROR(MATCH(135,'Transactions'!$M$7:$M$106,0)+6,""))</f>
      </c>
    </row>
    <row r="142" ht="24" customHeight="1">
      <c r="A142" s="2" t="str">
        <f>IF($J142="","",INDEX('Transactions'!$A$1:$A$106,$J142))</f>
      </c>
      <c r="B142" s="26" t="str">
        <f>IF($J142="","",INDEX('Transactions'!$B$1:$B$106,$J142))</f>
      </c>
      <c r="C142" s="2" t="str">
        <f>IF($J142="","",INDEX('Transactions'!$K$1:$K$106,$J142))</f>
      </c>
      <c r="D142" s="2" t="str">
        <f>IF($J142="","",INDEX('Transactions'!$D$1:$D$106,$J142))</f>
      </c>
      <c r="E142" s="2" t="str">
        <f>IF($J142="","",INDEX('Transactions'!$E$1:$E$106,$J142))</f>
      </c>
      <c r="F142" s="2" t="str">
        <f>IF($J142="","",INDEX('Transactions'!$I$1:$I$106,$J142))</f>
      </c>
      <c r="G142" s="2" t="str">
        <f>IF($J142="","",INDEX('Transactions'!$F$1:$F$106,$J142))</f>
      </c>
      <c r="H142" s="2" t="str">
        <f>IF($J142="","",INDEX('Transactions'!$G$1:$G$106,$J142))</f>
      </c>
      <c r="I142" s="2" t="str">
        <f>IF($J142="","",INDEX('Transactions'!$J$1:$J$106,$J142))</f>
      </c>
      <c r="J142" s="2" t="str">
        <f>IF(OR($C$4="",$F$4&gt;$I$4),"",IFERROR(MATCH(136,'Transactions'!$M$7:$M$106,0)+6,""))</f>
      </c>
    </row>
    <row r="143" ht="24" customHeight="1">
      <c r="A143" s="2" t="str">
        <f>IF($J143="","",INDEX('Transactions'!$A$1:$A$106,$J143))</f>
      </c>
      <c r="B143" s="26" t="str">
        <f>IF($J143="","",INDEX('Transactions'!$B$1:$B$106,$J143))</f>
      </c>
      <c r="C143" s="2" t="str">
        <f>IF($J143="","",INDEX('Transactions'!$K$1:$K$106,$J143))</f>
      </c>
      <c r="D143" s="2" t="str">
        <f>IF($J143="","",INDEX('Transactions'!$D$1:$D$106,$J143))</f>
      </c>
      <c r="E143" s="2" t="str">
        <f>IF($J143="","",INDEX('Transactions'!$E$1:$E$106,$J143))</f>
      </c>
      <c r="F143" s="2" t="str">
        <f>IF($J143="","",INDEX('Transactions'!$I$1:$I$106,$J143))</f>
      </c>
      <c r="G143" s="2" t="str">
        <f>IF($J143="","",INDEX('Transactions'!$F$1:$F$106,$J143))</f>
      </c>
      <c r="H143" s="2" t="str">
        <f>IF($J143="","",INDEX('Transactions'!$G$1:$G$106,$J143))</f>
      </c>
      <c r="I143" s="2" t="str">
        <f>IF($J143="","",INDEX('Transactions'!$J$1:$J$106,$J143))</f>
      </c>
      <c r="J143" s="2" t="str">
        <f>IF(OR($C$4="",$F$4&gt;$I$4),"",IFERROR(MATCH(137,'Transactions'!$M$7:$M$106,0)+6,""))</f>
      </c>
    </row>
    <row r="144" ht="24" customHeight="1">
      <c r="A144" s="2" t="str">
        <f>IF($J144="","",INDEX('Transactions'!$A$1:$A$106,$J144))</f>
      </c>
      <c r="B144" s="26" t="str">
        <f>IF($J144="","",INDEX('Transactions'!$B$1:$B$106,$J144))</f>
      </c>
      <c r="C144" s="2" t="str">
        <f>IF($J144="","",INDEX('Transactions'!$K$1:$K$106,$J144))</f>
      </c>
      <c r="D144" s="2" t="str">
        <f>IF($J144="","",INDEX('Transactions'!$D$1:$D$106,$J144))</f>
      </c>
      <c r="E144" s="2" t="str">
        <f>IF($J144="","",INDEX('Transactions'!$E$1:$E$106,$J144))</f>
      </c>
      <c r="F144" s="2" t="str">
        <f>IF($J144="","",INDEX('Transactions'!$I$1:$I$106,$J144))</f>
      </c>
      <c r="G144" s="2" t="str">
        <f>IF($J144="","",INDEX('Transactions'!$F$1:$F$106,$J144))</f>
      </c>
      <c r="H144" s="2" t="str">
        <f>IF($J144="","",INDEX('Transactions'!$G$1:$G$106,$J144))</f>
      </c>
      <c r="I144" s="2" t="str">
        <f>IF($J144="","",INDEX('Transactions'!$J$1:$J$106,$J144))</f>
      </c>
      <c r="J144" s="2" t="str">
        <f>IF(OR($C$4="",$F$4&gt;$I$4),"",IFERROR(MATCH(138,'Transactions'!$M$7:$M$106,0)+6,""))</f>
      </c>
    </row>
    <row r="145" ht="24" customHeight="1">
      <c r="A145" s="2" t="str">
        <f>IF($J145="","",INDEX('Transactions'!$A$1:$A$106,$J145))</f>
      </c>
      <c r="B145" s="26" t="str">
        <f>IF($J145="","",INDEX('Transactions'!$B$1:$B$106,$J145))</f>
      </c>
      <c r="C145" s="2" t="str">
        <f>IF($J145="","",INDEX('Transactions'!$K$1:$K$106,$J145))</f>
      </c>
      <c r="D145" s="2" t="str">
        <f>IF($J145="","",INDEX('Transactions'!$D$1:$D$106,$J145))</f>
      </c>
      <c r="E145" s="2" t="str">
        <f>IF($J145="","",INDEX('Transactions'!$E$1:$E$106,$J145))</f>
      </c>
      <c r="F145" s="2" t="str">
        <f>IF($J145="","",INDEX('Transactions'!$I$1:$I$106,$J145))</f>
      </c>
      <c r="G145" s="2" t="str">
        <f>IF($J145="","",INDEX('Transactions'!$F$1:$F$106,$J145))</f>
      </c>
      <c r="H145" s="2" t="str">
        <f>IF($J145="","",INDEX('Transactions'!$G$1:$G$106,$J145))</f>
      </c>
      <c r="I145" s="2" t="str">
        <f>IF($J145="","",INDEX('Transactions'!$J$1:$J$106,$J145))</f>
      </c>
      <c r="J145" s="2" t="str">
        <f>IF(OR($C$4="",$F$4&gt;$I$4),"",IFERROR(MATCH(139,'Transactions'!$M$7:$M$106,0)+6,""))</f>
      </c>
    </row>
    <row r="146" ht="24" customHeight="1">
      <c r="A146" s="2" t="str">
        <f>IF($J146="","",INDEX('Transactions'!$A$1:$A$106,$J146))</f>
      </c>
      <c r="B146" s="26" t="str">
        <f>IF($J146="","",INDEX('Transactions'!$B$1:$B$106,$J146))</f>
      </c>
      <c r="C146" s="2" t="str">
        <f>IF($J146="","",INDEX('Transactions'!$K$1:$K$106,$J146))</f>
      </c>
      <c r="D146" s="2" t="str">
        <f>IF($J146="","",INDEX('Transactions'!$D$1:$D$106,$J146))</f>
      </c>
      <c r="E146" s="2" t="str">
        <f>IF($J146="","",INDEX('Transactions'!$E$1:$E$106,$J146))</f>
      </c>
      <c r="F146" s="2" t="str">
        <f>IF($J146="","",INDEX('Transactions'!$I$1:$I$106,$J146))</f>
      </c>
      <c r="G146" s="2" t="str">
        <f>IF($J146="","",INDEX('Transactions'!$F$1:$F$106,$J146))</f>
      </c>
      <c r="H146" s="2" t="str">
        <f>IF($J146="","",INDEX('Transactions'!$G$1:$G$106,$J146))</f>
      </c>
      <c r="I146" s="2" t="str">
        <f>IF($J146="","",INDEX('Transactions'!$J$1:$J$106,$J146))</f>
      </c>
      <c r="J146" s="2" t="str">
        <f>IF(OR($C$4="",$F$4&gt;$I$4),"",IFERROR(MATCH(140,'Transactions'!$M$7:$M$106,0)+6,""))</f>
      </c>
    </row>
    <row r="147" ht="24" customHeight="1">
      <c r="A147" s="2" t="str">
        <f>IF($J147="","",INDEX('Transactions'!$A$1:$A$106,$J147))</f>
      </c>
      <c r="B147" s="26" t="str">
        <f>IF($J147="","",INDEX('Transactions'!$B$1:$B$106,$J147))</f>
      </c>
      <c r="C147" s="2" t="str">
        <f>IF($J147="","",INDEX('Transactions'!$K$1:$K$106,$J147))</f>
      </c>
      <c r="D147" s="2" t="str">
        <f>IF($J147="","",INDEX('Transactions'!$D$1:$D$106,$J147))</f>
      </c>
      <c r="E147" s="2" t="str">
        <f>IF($J147="","",INDEX('Transactions'!$E$1:$E$106,$J147))</f>
      </c>
      <c r="F147" s="2" t="str">
        <f>IF($J147="","",INDEX('Transactions'!$I$1:$I$106,$J147))</f>
      </c>
      <c r="G147" s="2" t="str">
        <f>IF($J147="","",INDEX('Transactions'!$F$1:$F$106,$J147))</f>
      </c>
      <c r="H147" s="2" t="str">
        <f>IF($J147="","",INDEX('Transactions'!$G$1:$G$106,$J147))</f>
      </c>
      <c r="I147" s="2" t="str">
        <f>IF($J147="","",INDEX('Transactions'!$J$1:$J$106,$J147))</f>
      </c>
      <c r="J147" s="2" t="str">
        <f>IF(OR($C$4="",$F$4&gt;$I$4),"",IFERROR(MATCH(141,'Transactions'!$M$7:$M$106,0)+6,""))</f>
      </c>
    </row>
    <row r="148" ht="24" customHeight="1">
      <c r="A148" s="2" t="str">
        <f>IF($J148="","",INDEX('Transactions'!$A$1:$A$106,$J148))</f>
      </c>
      <c r="B148" s="26" t="str">
        <f>IF($J148="","",INDEX('Transactions'!$B$1:$B$106,$J148))</f>
      </c>
      <c r="C148" s="2" t="str">
        <f>IF($J148="","",INDEX('Transactions'!$K$1:$K$106,$J148))</f>
      </c>
      <c r="D148" s="2" t="str">
        <f>IF($J148="","",INDEX('Transactions'!$D$1:$D$106,$J148))</f>
      </c>
      <c r="E148" s="2" t="str">
        <f>IF($J148="","",INDEX('Transactions'!$E$1:$E$106,$J148))</f>
      </c>
      <c r="F148" s="2" t="str">
        <f>IF($J148="","",INDEX('Transactions'!$I$1:$I$106,$J148))</f>
      </c>
      <c r="G148" s="2" t="str">
        <f>IF($J148="","",INDEX('Transactions'!$F$1:$F$106,$J148))</f>
      </c>
      <c r="H148" s="2" t="str">
        <f>IF($J148="","",INDEX('Transactions'!$G$1:$G$106,$J148))</f>
      </c>
      <c r="I148" s="2" t="str">
        <f>IF($J148="","",INDEX('Transactions'!$J$1:$J$106,$J148))</f>
      </c>
      <c r="J148" s="2" t="str">
        <f>IF(OR($C$4="",$F$4&gt;$I$4),"",IFERROR(MATCH(142,'Transactions'!$M$7:$M$106,0)+6,""))</f>
      </c>
    </row>
    <row r="149" ht="24" customHeight="1">
      <c r="A149" s="2" t="str">
        <f>IF($J149="","",INDEX('Transactions'!$A$1:$A$106,$J149))</f>
      </c>
      <c r="B149" s="26" t="str">
        <f>IF($J149="","",INDEX('Transactions'!$B$1:$B$106,$J149))</f>
      </c>
      <c r="C149" s="2" t="str">
        <f>IF($J149="","",INDEX('Transactions'!$K$1:$K$106,$J149))</f>
      </c>
      <c r="D149" s="2" t="str">
        <f>IF($J149="","",INDEX('Transactions'!$D$1:$D$106,$J149))</f>
      </c>
      <c r="E149" s="2" t="str">
        <f>IF($J149="","",INDEX('Transactions'!$E$1:$E$106,$J149))</f>
      </c>
      <c r="F149" s="2" t="str">
        <f>IF($J149="","",INDEX('Transactions'!$I$1:$I$106,$J149))</f>
      </c>
      <c r="G149" s="2" t="str">
        <f>IF($J149="","",INDEX('Transactions'!$F$1:$F$106,$J149))</f>
      </c>
      <c r="H149" s="2" t="str">
        <f>IF($J149="","",INDEX('Transactions'!$G$1:$G$106,$J149))</f>
      </c>
      <c r="I149" s="2" t="str">
        <f>IF($J149="","",INDEX('Transactions'!$J$1:$J$106,$J149))</f>
      </c>
      <c r="J149" s="2" t="str">
        <f>IF(OR($C$4="",$F$4&gt;$I$4),"",IFERROR(MATCH(143,'Transactions'!$M$7:$M$106,0)+6,""))</f>
      </c>
    </row>
    <row r="150" ht="24" customHeight="1">
      <c r="A150" s="2" t="str">
        <f>IF($J150="","",INDEX('Transactions'!$A$1:$A$106,$J150))</f>
      </c>
      <c r="B150" s="26" t="str">
        <f>IF($J150="","",INDEX('Transactions'!$B$1:$B$106,$J150))</f>
      </c>
      <c r="C150" s="2" t="str">
        <f>IF($J150="","",INDEX('Transactions'!$K$1:$K$106,$J150))</f>
      </c>
      <c r="D150" s="2" t="str">
        <f>IF($J150="","",INDEX('Transactions'!$D$1:$D$106,$J150))</f>
      </c>
      <c r="E150" s="2" t="str">
        <f>IF($J150="","",INDEX('Transactions'!$E$1:$E$106,$J150))</f>
      </c>
      <c r="F150" s="2" t="str">
        <f>IF($J150="","",INDEX('Transactions'!$I$1:$I$106,$J150))</f>
      </c>
      <c r="G150" s="2" t="str">
        <f>IF($J150="","",INDEX('Transactions'!$F$1:$F$106,$J150))</f>
      </c>
      <c r="H150" s="2" t="str">
        <f>IF($J150="","",INDEX('Transactions'!$G$1:$G$106,$J150))</f>
      </c>
      <c r="I150" s="2" t="str">
        <f>IF($J150="","",INDEX('Transactions'!$J$1:$J$106,$J150))</f>
      </c>
      <c r="J150" s="2" t="str">
        <f>IF(OR($C$4="",$F$4&gt;$I$4),"",IFERROR(MATCH(144,'Transactions'!$M$7:$M$106,0)+6,""))</f>
      </c>
    </row>
    <row r="151" ht="24" customHeight="1">
      <c r="A151" s="2" t="str">
        <f>IF($J151="","",INDEX('Transactions'!$A$1:$A$106,$J151))</f>
      </c>
      <c r="B151" s="26" t="str">
        <f>IF($J151="","",INDEX('Transactions'!$B$1:$B$106,$J151))</f>
      </c>
      <c r="C151" s="2" t="str">
        <f>IF($J151="","",INDEX('Transactions'!$K$1:$K$106,$J151))</f>
      </c>
      <c r="D151" s="2" t="str">
        <f>IF($J151="","",INDEX('Transactions'!$D$1:$D$106,$J151))</f>
      </c>
      <c r="E151" s="2" t="str">
        <f>IF($J151="","",INDEX('Transactions'!$E$1:$E$106,$J151))</f>
      </c>
      <c r="F151" s="2" t="str">
        <f>IF($J151="","",INDEX('Transactions'!$I$1:$I$106,$J151))</f>
      </c>
      <c r="G151" s="2" t="str">
        <f>IF($J151="","",INDEX('Transactions'!$F$1:$F$106,$J151))</f>
      </c>
      <c r="H151" s="2" t="str">
        <f>IF($J151="","",INDEX('Transactions'!$G$1:$G$106,$J151))</f>
      </c>
      <c r="I151" s="2" t="str">
        <f>IF($J151="","",INDEX('Transactions'!$J$1:$J$106,$J151))</f>
      </c>
      <c r="J151" s="2" t="str">
        <f>IF(OR($C$4="",$F$4&gt;$I$4),"",IFERROR(MATCH(145,'Transactions'!$M$7:$M$106,0)+6,""))</f>
      </c>
    </row>
    <row r="152" ht="24" customHeight="1">
      <c r="A152" s="2" t="str">
        <f>IF($J152="","",INDEX('Transactions'!$A$1:$A$106,$J152))</f>
      </c>
      <c r="B152" s="26" t="str">
        <f>IF($J152="","",INDEX('Transactions'!$B$1:$B$106,$J152))</f>
      </c>
      <c r="C152" s="2" t="str">
        <f>IF($J152="","",INDEX('Transactions'!$K$1:$K$106,$J152))</f>
      </c>
      <c r="D152" s="2" t="str">
        <f>IF($J152="","",INDEX('Transactions'!$D$1:$D$106,$J152))</f>
      </c>
      <c r="E152" s="2" t="str">
        <f>IF($J152="","",INDEX('Transactions'!$E$1:$E$106,$J152))</f>
      </c>
      <c r="F152" s="2" t="str">
        <f>IF($J152="","",INDEX('Transactions'!$I$1:$I$106,$J152))</f>
      </c>
      <c r="G152" s="2" t="str">
        <f>IF($J152="","",INDEX('Transactions'!$F$1:$F$106,$J152))</f>
      </c>
      <c r="H152" s="2" t="str">
        <f>IF($J152="","",INDEX('Transactions'!$G$1:$G$106,$J152))</f>
      </c>
      <c r="I152" s="2" t="str">
        <f>IF($J152="","",INDEX('Transactions'!$J$1:$J$106,$J152))</f>
      </c>
      <c r="J152" s="2" t="str">
        <f>IF(OR($C$4="",$F$4&gt;$I$4),"",IFERROR(MATCH(146,'Transactions'!$M$7:$M$106,0)+6,""))</f>
      </c>
    </row>
    <row r="153" ht="24" customHeight="1">
      <c r="A153" s="2" t="str">
        <f>IF($J153="","",INDEX('Transactions'!$A$1:$A$106,$J153))</f>
      </c>
      <c r="B153" s="26" t="str">
        <f>IF($J153="","",INDEX('Transactions'!$B$1:$B$106,$J153))</f>
      </c>
      <c r="C153" s="2" t="str">
        <f>IF($J153="","",INDEX('Transactions'!$K$1:$K$106,$J153))</f>
      </c>
      <c r="D153" s="2" t="str">
        <f>IF($J153="","",INDEX('Transactions'!$D$1:$D$106,$J153))</f>
      </c>
      <c r="E153" s="2" t="str">
        <f>IF($J153="","",INDEX('Transactions'!$E$1:$E$106,$J153))</f>
      </c>
      <c r="F153" s="2" t="str">
        <f>IF($J153="","",INDEX('Transactions'!$I$1:$I$106,$J153))</f>
      </c>
      <c r="G153" s="2" t="str">
        <f>IF($J153="","",INDEX('Transactions'!$F$1:$F$106,$J153))</f>
      </c>
      <c r="H153" s="2" t="str">
        <f>IF($J153="","",INDEX('Transactions'!$G$1:$G$106,$J153))</f>
      </c>
      <c r="I153" s="2" t="str">
        <f>IF($J153="","",INDEX('Transactions'!$J$1:$J$106,$J153))</f>
      </c>
      <c r="J153" s="2" t="str">
        <f>IF(OR($C$4="",$F$4&gt;$I$4),"",IFERROR(MATCH(147,'Transactions'!$M$7:$M$106,0)+6,""))</f>
      </c>
    </row>
    <row r="154" ht="24" customHeight="1">
      <c r="A154" s="2" t="str">
        <f>IF($J154="","",INDEX('Transactions'!$A$1:$A$106,$J154))</f>
      </c>
      <c r="B154" s="26" t="str">
        <f>IF($J154="","",INDEX('Transactions'!$B$1:$B$106,$J154))</f>
      </c>
      <c r="C154" s="2" t="str">
        <f>IF($J154="","",INDEX('Transactions'!$K$1:$K$106,$J154))</f>
      </c>
      <c r="D154" s="2" t="str">
        <f>IF($J154="","",INDEX('Transactions'!$D$1:$D$106,$J154))</f>
      </c>
      <c r="E154" s="2" t="str">
        <f>IF($J154="","",INDEX('Transactions'!$E$1:$E$106,$J154))</f>
      </c>
      <c r="F154" s="2" t="str">
        <f>IF($J154="","",INDEX('Transactions'!$I$1:$I$106,$J154))</f>
      </c>
      <c r="G154" s="2" t="str">
        <f>IF($J154="","",INDEX('Transactions'!$F$1:$F$106,$J154))</f>
      </c>
      <c r="H154" s="2" t="str">
        <f>IF($J154="","",INDEX('Transactions'!$G$1:$G$106,$J154))</f>
      </c>
      <c r="I154" s="2" t="str">
        <f>IF($J154="","",INDEX('Transactions'!$J$1:$J$106,$J154))</f>
      </c>
      <c r="J154" s="2" t="str">
        <f>IF(OR($C$4="",$F$4&gt;$I$4),"",IFERROR(MATCH(148,'Transactions'!$M$7:$M$106,0)+6,""))</f>
      </c>
    </row>
    <row r="155" ht="24" customHeight="1">
      <c r="A155" s="2" t="str">
        <f>IF($J155="","",INDEX('Transactions'!$A$1:$A$106,$J155))</f>
      </c>
      <c r="B155" s="26" t="str">
        <f>IF($J155="","",INDEX('Transactions'!$B$1:$B$106,$J155))</f>
      </c>
      <c r="C155" s="2" t="str">
        <f>IF($J155="","",INDEX('Transactions'!$K$1:$K$106,$J155))</f>
      </c>
      <c r="D155" s="2" t="str">
        <f>IF($J155="","",INDEX('Transactions'!$D$1:$D$106,$J155))</f>
      </c>
      <c r="E155" s="2" t="str">
        <f>IF($J155="","",INDEX('Transactions'!$E$1:$E$106,$J155))</f>
      </c>
      <c r="F155" s="2" t="str">
        <f>IF($J155="","",INDEX('Transactions'!$I$1:$I$106,$J155))</f>
      </c>
      <c r="G155" s="2" t="str">
        <f>IF($J155="","",INDEX('Transactions'!$F$1:$F$106,$J155))</f>
      </c>
      <c r="H155" s="2" t="str">
        <f>IF($J155="","",INDEX('Transactions'!$G$1:$G$106,$J155))</f>
      </c>
      <c r="I155" s="2" t="str">
        <f>IF($J155="","",INDEX('Transactions'!$J$1:$J$106,$J155))</f>
      </c>
      <c r="J155" s="2" t="str">
        <f>IF(OR($C$4="",$F$4&gt;$I$4),"",IFERROR(MATCH(149,'Transactions'!$M$7:$M$106,0)+6,""))</f>
      </c>
    </row>
    <row r="156" ht="24" customHeight="1">
      <c r="A156" s="2" t="str">
        <f>IF($J156="","",INDEX('Transactions'!$A$1:$A$106,$J156))</f>
      </c>
      <c r="B156" s="26" t="str">
        <f>IF($J156="","",INDEX('Transactions'!$B$1:$B$106,$J156))</f>
      </c>
      <c r="C156" s="2" t="str">
        <f>IF($J156="","",INDEX('Transactions'!$K$1:$K$106,$J156))</f>
      </c>
      <c r="D156" s="2" t="str">
        <f>IF($J156="","",INDEX('Transactions'!$D$1:$D$106,$J156))</f>
      </c>
      <c r="E156" s="2" t="str">
        <f>IF($J156="","",INDEX('Transactions'!$E$1:$E$106,$J156))</f>
      </c>
      <c r="F156" s="2" t="str">
        <f>IF($J156="","",INDEX('Transactions'!$I$1:$I$106,$J156))</f>
      </c>
      <c r="G156" s="2" t="str">
        <f>IF($J156="","",INDEX('Transactions'!$F$1:$F$106,$J156))</f>
      </c>
      <c r="H156" s="2" t="str">
        <f>IF($J156="","",INDEX('Transactions'!$G$1:$G$106,$J156))</f>
      </c>
      <c r="I156" s="2" t="str">
        <f>IF($J156="","",INDEX('Transactions'!$J$1:$J$106,$J156))</f>
      </c>
      <c r="J156" s="2" t="str">
        <f>IF(OR($C$4="",$F$4&gt;$I$4),"",IFERROR(MATCH(150,'Transactions'!$M$7:$M$106,0)+6,""))</f>
      </c>
    </row>
    <row r="157" ht="24" customHeight="1">
      <c r="A157" s="2" t="str">
        <f>IF($J157="","",INDEX('Transactions'!$A$1:$A$106,$J157))</f>
      </c>
      <c r="B157" s="26" t="str">
        <f>IF($J157="","",INDEX('Transactions'!$B$1:$B$106,$J157))</f>
      </c>
      <c r="C157" s="2" t="str">
        <f>IF($J157="","",INDEX('Transactions'!$K$1:$K$106,$J157))</f>
      </c>
      <c r="D157" s="2" t="str">
        <f>IF($J157="","",INDEX('Transactions'!$D$1:$D$106,$J157))</f>
      </c>
      <c r="E157" s="2" t="str">
        <f>IF($J157="","",INDEX('Transactions'!$E$1:$E$106,$J157))</f>
      </c>
      <c r="F157" s="2" t="str">
        <f>IF($J157="","",INDEX('Transactions'!$I$1:$I$106,$J157))</f>
      </c>
      <c r="G157" s="2" t="str">
        <f>IF($J157="","",INDEX('Transactions'!$F$1:$F$106,$J157))</f>
      </c>
      <c r="H157" s="2" t="str">
        <f>IF($J157="","",INDEX('Transactions'!$G$1:$G$106,$J157))</f>
      </c>
      <c r="I157" s="2" t="str">
        <f>IF($J157="","",INDEX('Transactions'!$J$1:$J$106,$J157))</f>
      </c>
      <c r="J157" s="2" t="str">
        <f>IF(OR($C$4="",$F$4&gt;$I$4),"",IFERROR(MATCH(151,'Transactions'!$M$7:$M$106,0)+6,""))</f>
      </c>
    </row>
    <row r="158" ht="24" customHeight="1">
      <c r="A158" s="2" t="str">
        <f>IF($J158="","",INDEX('Transactions'!$A$1:$A$106,$J158))</f>
      </c>
      <c r="B158" s="26" t="str">
        <f>IF($J158="","",INDEX('Transactions'!$B$1:$B$106,$J158))</f>
      </c>
      <c r="C158" s="2" t="str">
        <f>IF($J158="","",INDEX('Transactions'!$K$1:$K$106,$J158))</f>
      </c>
      <c r="D158" s="2" t="str">
        <f>IF($J158="","",INDEX('Transactions'!$D$1:$D$106,$J158))</f>
      </c>
      <c r="E158" s="2" t="str">
        <f>IF($J158="","",INDEX('Transactions'!$E$1:$E$106,$J158))</f>
      </c>
      <c r="F158" s="2" t="str">
        <f>IF($J158="","",INDEX('Transactions'!$I$1:$I$106,$J158))</f>
      </c>
      <c r="G158" s="2" t="str">
        <f>IF($J158="","",INDEX('Transactions'!$F$1:$F$106,$J158))</f>
      </c>
      <c r="H158" s="2" t="str">
        <f>IF($J158="","",INDEX('Transactions'!$G$1:$G$106,$J158))</f>
      </c>
      <c r="I158" s="2" t="str">
        <f>IF($J158="","",INDEX('Transactions'!$J$1:$J$106,$J158))</f>
      </c>
      <c r="J158" s="2" t="str">
        <f>IF(OR($C$4="",$F$4&gt;$I$4),"",IFERROR(MATCH(152,'Transactions'!$M$7:$M$106,0)+6,""))</f>
      </c>
    </row>
    <row r="159" ht="24" customHeight="1">
      <c r="A159" s="2" t="str">
        <f>IF($J159="","",INDEX('Transactions'!$A$1:$A$106,$J159))</f>
      </c>
      <c r="B159" s="26" t="str">
        <f>IF($J159="","",INDEX('Transactions'!$B$1:$B$106,$J159))</f>
      </c>
      <c r="C159" s="2" t="str">
        <f>IF($J159="","",INDEX('Transactions'!$K$1:$K$106,$J159))</f>
      </c>
      <c r="D159" s="2" t="str">
        <f>IF($J159="","",INDEX('Transactions'!$D$1:$D$106,$J159))</f>
      </c>
      <c r="E159" s="2" t="str">
        <f>IF($J159="","",INDEX('Transactions'!$E$1:$E$106,$J159))</f>
      </c>
      <c r="F159" s="2" t="str">
        <f>IF($J159="","",INDEX('Transactions'!$I$1:$I$106,$J159))</f>
      </c>
      <c r="G159" s="2" t="str">
        <f>IF($J159="","",INDEX('Transactions'!$F$1:$F$106,$J159))</f>
      </c>
      <c r="H159" s="2" t="str">
        <f>IF($J159="","",INDEX('Transactions'!$G$1:$G$106,$J159))</f>
      </c>
      <c r="I159" s="2" t="str">
        <f>IF($J159="","",INDEX('Transactions'!$J$1:$J$106,$J159))</f>
      </c>
      <c r="J159" s="2" t="str">
        <f>IF(OR($C$4="",$F$4&gt;$I$4),"",IFERROR(MATCH(153,'Transactions'!$M$7:$M$106,0)+6,""))</f>
      </c>
    </row>
    <row r="160" ht="24" customHeight="1">
      <c r="A160" s="2" t="str">
        <f>IF($J160="","",INDEX('Transactions'!$A$1:$A$106,$J160))</f>
      </c>
      <c r="B160" s="26" t="str">
        <f>IF($J160="","",INDEX('Transactions'!$B$1:$B$106,$J160))</f>
      </c>
      <c r="C160" s="2" t="str">
        <f>IF($J160="","",INDEX('Transactions'!$K$1:$K$106,$J160))</f>
      </c>
      <c r="D160" s="2" t="str">
        <f>IF($J160="","",INDEX('Transactions'!$D$1:$D$106,$J160))</f>
      </c>
      <c r="E160" s="2" t="str">
        <f>IF($J160="","",INDEX('Transactions'!$E$1:$E$106,$J160))</f>
      </c>
      <c r="F160" s="2" t="str">
        <f>IF($J160="","",INDEX('Transactions'!$I$1:$I$106,$J160))</f>
      </c>
      <c r="G160" s="2" t="str">
        <f>IF($J160="","",INDEX('Transactions'!$F$1:$F$106,$J160))</f>
      </c>
      <c r="H160" s="2" t="str">
        <f>IF($J160="","",INDEX('Transactions'!$G$1:$G$106,$J160))</f>
      </c>
      <c r="I160" s="2" t="str">
        <f>IF($J160="","",INDEX('Transactions'!$J$1:$J$106,$J160))</f>
      </c>
      <c r="J160" s="2" t="str">
        <f>IF(OR($C$4="",$F$4&gt;$I$4),"",IFERROR(MATCH(154,'Transactions'!$M$7:$M$106,0)+6,""))</f>
      </c>
    </row>
    <row r="161" ht="24" customHeight="1">
      <c r="A161" s="2" t="str">
        <f>IF($J161="","",INDEX('Transactions'!$A$1:$A$106,$J161))</f>
      </c>
      <c r="B161" s="26" t="str">
        <f>IF($J161="","",INDEX('Transactions'!$B$1:$B$106,$J161))</f>
      </c>
      <c r="C161" s="2" t="str">
        <f>IF($J161="","",INDEX('Transactions'!$K$1:$K$106,$J161))</f>
      </c>
      <c r="D161" s="2" t="str">
        <f>IF($J161="","",INDEX('Transactions'!$D$1:$D$106,$J161))</f>
      </c>
      <c r="E161" s="2" t="str">
        <f>IF($J161="","",INDEX('Transactions'!$E$1:$E$106,$J161))</f>
      </c>
      <c r="F161" s="2" t="str">
        <f>IF($J161="","",INDEX('Transactions'!$I$1:$I$106,$J161))</f>
      </c>
      <c r="G161" s="2" t="str">
        <f>IF($J161="","",INDEX('Transactions'!$F$1:$F$106,$J161))</f>
      </c>
      <c r="H161" s="2" t="str">
        <f>IF($J161="","",INDEX('Transactions'!$G$1:$G$106,$J161))</f>
      </c>
      <c r="I161" s="2" t="str">
        <f>IF($J161="","",INDEX('Transactions'!$J$1:$J$106,$J161))</f>
      </c>
      <c r="J161" s="2" t="str">
        <f>IF(OR($C$4="",$F$4&gt;$I$4),"",IFERROR(MATCH(155,'Transactions'!$M$7:$M$106,0)+6,""))</f>
      </c>
    </row>
    <row r="162" ht="24" customHeight="1">
      <c r="A162" s="2" t="str">
        <f>IF($J162="","",INDEX('Transactions'!$A$1:$A$106,$J162))</f>
      </c>
      <c r="B162" s="26" t="str">
        <f>IF($J162="","",INDEX('Transactions'!$B$1:$B$106,$J162))</f>
      </c>
      <c r="C162" s="2" t="str">
        <f>IF($J162="","",INDEX('Transactions'!$K$1:$K$106,$J162))</f>
      </c>
      <c r="D162" s="2" t="str">
        <f>IF($J162="","",INDEX('Transactions'!$D$1:$D$106,$J162))</f>
      </c>
      <c r="E162" s="2" t="str">
        <f>IF($J162="","",INDEX('Transactions'!$E$1:$E$106,$J162))</f>
      </c>
      <c r="F162" s="2" t="str">
        <f>IF($J162="","",INDEX('Transactions'!$I$1:$I$106,$J162))</f>
      </c>
      <c r="G162" s="2" t="str">
        <f>IF($J162="","",INDEX('Transactions'!$F$1:$F$106,$J162))</f>
      </c>
      <c r="H162" s="2" t="str">
        <f>IF($J162="","",INDEX('Transactions'!$G$1:$G$106,$J162))</f>
      </c>
      <c r="I162" s="2" t="str">
        <f>IF($J162="","",INDEX('Transactions'!$J$1:$J$106,$J162))</f>
      </c>
      <c r="J162" s="2" t="str">
        <f>IF(OR($C$4="",$F$4&gt;$I$4),"",IFERROR(MATCH(156,'Transactions'!$M$7:$M$106,0)+6,""))</f>
      </c>
    </row>
    <row r="163" ht="24" customHeight="1">
      <c r="A163" s="2" t="str">
        <f>IF($J163="","",INDEX('Transactions'!$A$1:$A$106,$J163))</f>
      </c>
      <c r="B163" s="26" t="str">
        <f>IF($J163="","",INDEX('Transactions'!$B$1:$B$106,$J163))</f>
      </c>
      <c r="C163" s="2" t="str">
        <f>IF($J163="","",INDEX('Transactions'!$K$1:$K$106,$J163))</f>
      </c>
      <c r="D163" s="2" t="str">
        <f>IF($J163="","",INDEX('Transactions'!$D$1:$D$106,$J163))</f>
      </c>
      <c r="E163" s="2" t="str">
        <f>IF($J163="","",INDEX('Transactions'!$E$1:$E$106,$J163))</f>
      </c>
      <c r="F163" s="2" t="str">
        <f>IF($J163="","",INDEX('Transactions'!$I$1:$I$106,$J163))</f>
      </c>
      <c r="G163" s="2" t="str">
        <f>IF($J163="","",INDEX('Transactions'!$F$1:$F$106,$J163))</f>
      </c>
      <c r="H163" s="2" t="str">
        <f>IF($J163="","",INDEX('Transactions'!$G$1:$G$106,$J163))</f>
      </c>
      <c r="I163" s="2" t="str">
        <f>IF($J163="","",INDEX('Transactions'!$J$1:$J$106,$J163))</f>
      </c>
      <c r="J163" s="2" t="str">
        <f>IF(OR($C$4="",$F$4&gt;$I$4),"",IFERROR(MATCH(157,'Transactions'!$M$7:$M$106,0)+6,""))</f>
      </c>
    </row>
    <row r="164" ht="24" customHeight="1">
      <c r="A164" s="2" t="str">
        <f>IF($J164="","",INDEX('Transactions'!$A$1:$A$106,$J164))</f>
      </c>
      <c r="B164" s="26" t="str">
        <f>IF($J164="","",INDEX('Transactions'!$B$1:$B$106,$J164))</f>
      </c>
      <c r="C164" s="2" t="str">
        <f>IF($J164="","",INDEX('Transactions'!$K$1:$K$106,$J164))</f>
      </c>
      <c r="D164" s="2" t="str">
        <f>IF($J164="","",INDEX('Transactions'!$D$1:$D$106,$J164))</f>
      </c>
      <c r="E164" s="2" t="str">
        <f>IF($J164="","",INDEX('Transactions'!$E$1:$E$106,$J164))</f>
      </c>
      <c r="F164" s="2" t="str">
        <f>IF($J164="","",INDEX('Transactions'!$I$1:$I$106,$J164))</f>
      </c>
      <c r="G164" s="2" t="str">
        <f>IF($J164="","",INDEX('Transactions'!$F$1:$F$106,$J164))</f>
      </c>
      <c r="H164" s="2" t="str">
        <f>IF($J164="","",INDEX('Transactions'!$G$1:$G$106,$J164))</f>
      </c>
      <c r="I164" s="2" t="str">
        <f>IF($J164="","",INDEX('Transactions'!$J$1:$J$106,$J164))</f>
      </c>
      <c r="J164" s="2" t="str">
        <f>IF(OR($C$4="",$F$4&gt;$I$4),"",IFERROR(MATCH(158,'Transactions'!$M$7:$M$106,0)+6,""))</f>
      </c>
    </row>
    <row r="165" ht="24" customHeight="1">
      <c r="A165" s="2" t="str">
        <f>IF($J165="","",INDEX('Transactions'!$A$1:$A$106,$J165))</f>
      </c>
      <c r="B165" s="26" t="str">
        <f>IF($J165="","",INDEX('Transactions'!$B$1:$B$106,$J165))</f>
      </c>
      <c r="C165" s="2" t="str">
        <f>IF($J165="","",INDEX('Transactions'!$K$1:$K$106,$J165))</f>
      </c>
      <c r="D165" s="2" t="str">
        <f>IF($J165="","",INDEX('Transactions'!$D$1:$D$106,$J165))</f>
      </c>
      <c r="E165" s="2" t="str">
        <f>IF($J165="","",INDEX('Transactions'!$E$1:$E$106,$J165))</f>
      </c>
      <c r="F165" s="2" t="str">
        <f>IF($J165="","",INDEX('Transactions'!$I$1:$I$106,$J165))</f>
      </c>
      <c r="G165" s="2" t="str">
        <f>IF($J165="","",INDEX('Transactions'!$F$1:$F$106,$J165))</f>
      </c>
      <c r="H165" s="2" t="str">
        <f>IF($J165="","",INDEX('Transactions'!$G$1:$G$106,$J165))</f>
      </c>
      <c r="I165" s="2" t="str">
        <f>IF($J165="","",INDEX('Transactions'!$J$1:$J$106,$J165))</f>
      </c>
      <c r="J165" s="2" t="str">
        <f>IF(OR($C$4="",$F$4&gt;$I$4),"",IFERROR(MATCH(159,'Transactions'!$M$7:$M$106,0)+6,""))</f>
      </c>
    </row>
    <row r="166" ht="24" customHeight="1">
      <c r="A166" s="2" t="str">
        <f>IF($J166="","",INDEX('Transactions'!$A$1:$A$106,$J166))</f>
      </c>
      <c r="B166" s="26" t="str">
        <f>IF($J166="","",INDEX('Transactions'!$B$1:$B$106,$J166))</f>
      </c>
      <c r="C166" s="2" t="str">
        <f>IF($J166="","",INDEX('Transactions'!$K$1:$K$106,$J166))</f>
      </c>
      <c r="D166" s="2" t="str">
        <f>IF($J166="","",INDEX('Transactions'!$D$1:$D$106,$J166))</f>
      </c>
      <c r="E166" s="2" t="str">
        <f>IF($J166="","",INDEX('Transactions'!$E$1:$E$106,$J166))</f>
      </c>
      <c r="F166" s="2" t="str">
        <f>IF($J166="","",INDEX('Transactions'!$I$1:$I$106,$J166))</f>
      </c>
      <c r="G166" s="2" t="str">
        <f>IF($J166="","",INDEX('Transactions'!$F$1:$F$106,$J166))</f>
      </c>
      <c r="H166" s="2" t="str">
        <f>IF($J166="","",INDEX('Transactions'!$G$1:$G$106,$J166))</f>
      </c>
      <c r="I166" s="2" t="str">
        <f>IF($J166="","",INDEX('Transactions'!$J$1:$J$106,$J166))</f>
      </c>
      <c r="J166" s="2" t="str">
        <f>IF(OR($C$4="",$F$4&gt;$I$4),"",IFERROR(MATCH(160,'Transactions'!$M$7:$M$106,0)+6,""))</f>
      </c>
    </row>
    <row r="167" ht="24" customHeight="1">
      <c r="A167" s="2" t="str">
        <f>IF($J167="","",INDEX('Transactions'!$A$1:$A$106,$J167))</f>
      </c>
      <c r="B167" s="26" t="str">
        <f>IF($J167="","",INDEX('Transactions'!$B$1:$B$106,$J167))</f>
      </c>
      <c r="C167" s="2" t="str">
        <f>IF($J167="","",INDEX('Transactions'!$K$1:$K$106,$J167))</f>
      </c>
      <c r="D167" s="2" t="str">
        <f>IF($J167="","",INDEX('Transactions'!$D$1:$D$106,$J167))</f>
      </c>
      <c r="E167" s="2" t="str">
        <f>IF($J167="","",INDEX('Transactions'!$E$1:$E$106,$J167))</f>
      </c>
      <c r="F167" s="2" t="str">
        <f>IF($J167="","",INDEX('Transactions'!$I$1:$I$106,$J167))</f>
      </c>
      <c r="G167" s="2" t="str">
        <f>IF($J167="","",INDEX('Transactions'!$F$1:$F$106,$J167))</f>
      </c>
      <c r="H167" s="2" t="str">
        <f>IF($J167="","",INDEX('Transactions'!$G$1:$G$106,$J167))</f>
      </c>
      <c r="I167" s="2" t="str">
        <f>IF($J167="","",INDEX('Transactions'!$J$1:$J$106,$J167))</f>
      </c>
      <c r="J167" s="2" t="str">
        <f>IF(OR($C$4="",$F$4&gt;$I$4),"",IFERROR(MATCH(161,'Transactions'!$M$7:$M$106,0)+6,""))</f>
      </c>
    </row>
    <row r="168" ht="24" customHeight="1">
      <c r="A168" s="2" t="str">
        <f>IF($J168="","",INDEX('Transactions'!$A$1:$A$106,$J168))</f>
      </c>
      <c r="B168" s="26" t="str">
        <f>IF($J168="","",INDEX('Transactions'!$B$1:$B$106,$J168))</f>
      </c>
      <c r="C168" s="2" t="str">
        <f>IF($J168="","",INDEX('Transactions'!$K$1:$K$106,$J168))</f>
      </c>
      <c r="D168" s="2" t="str">
        <f>IF($J168="","",INDEX('Transactions'!$D$1:$D$106,$J168))</f>
      </c>
      <c r="E168" s="2" t="str">
        <f>IF($J168="","",INDEX('Transactions'!$E$1:$E$106,$J168))</f>
      </c>
      <c r="F168" s="2" t="str">
        <f>IF($J168="","",INDEX('Transactions'!$I$1:$I$106,$J168))</f>
      </c>
      <c r="G168" s="2" t="str">
        <f>IF($J168="","",INDEX('Transactions'!$F$1:$F$106,$J168))</f>
      </c>
      <c r="H168" s="2" t="str">
        <f>IF($J168="","",INDEX('Transactions'!$G$1:$G$106,$J168))</f>
      </c>
      <c r="I168" s="2" t="str">
        <f>IF($J168="","",INDEX('Transactions'!$J$1:$J$106,$J168))</f>
      </c>
      <c r="J168" s="2" t="str">
        <f>IF(OR($C$4="",$F$4&gt;$I$4),"",IFERROR(MATCH(162,'Transactions'!$M$7:$M$106,0)+6,""))</f>
      </c>
    </row>
    <row r="169" ht="24" customHeight="1">
      <c r="A169" s="2" t="str">
        <f>IF($J169="","",INDEX('Transactions'!$A$1:$A$106,$J169))</f>
      </c>
      <c r="B169" s="26" t="str">
        <f>IF($J169="","",INDEX('Transactions'!$B$1:$B$106,$J169))</f>
      </c>
      <c r="C169" s="2" t="str">
        <f>IF($J169="","",INDEX('Transactions'!$K$1:$K$106,$J169))</f>
      </c>
      <c r="D169" s="2" t="str">
        <f>IF($J169="","",INDEX('Transactions'!$D$1:$D$106,$J169))</f>
      </c>
      <c r="E169" s="2" t="str">
        <f>IF($J169="","",INDEX('Transactions'!$E$1:$E$106,$J169))</f>
      </c>
      <c r="F169" s="2" t="str">
        <f>IF($J169="","",INDEX('Transactions'!$I$1:$I$106,$J169))</f>
      </c>
      <c r="G169" s="2" t="str">
        <f>IF($J169="","",INDEX('Transactions'!$F$1:$F$106,$J169))</f>
      </c>
      <c r="H169" s="2" t="str">
        <f>IF($J169="","",INDEX('Transactions'!$G$1:$G$106,$J169))</f>
      </c>
      <c r="I169" s="2" t="str">
        <f>IF($J169="","",INDEX('Transactions'!$J$1:$J$106,$J169))</f>
      </c>
      <c r="J169" s="2" t="str">
        <f>IF(OR($C$4="",$F$4&gt;$I$4),"",IFERROR(MATCH(163,'Transactions'!$M$7:$M$106,0)+6,""))</f>
      </c>
    </row>
    <row r="170" ht="24" customHeight="1">
      <c r="A170" s="2" t="str">
        <f>IF($J170="","",INDEX('Transactions'!$A$1:$A$106,$J170))</f>
      </c>
      <c r="B170" s="26" t="str">
        <f>IF($J170="","",INDEX('Transactions'!$B$1:$B$106,$J170))</f>
      </c>
      <c r="C170" s="2" t="str">
        <f>IF($J170="","",INDEX('Transactions'!$K$1:$K$106,$J170))</f>
      </c>
      <c r="D170" s="2" t="str">
        <f>IF($J170="","",INDEX('Transactions'!$D$1:$D$106,$J170))</f>
      </c>
      <c r="E170" s="2" t="str">
        <f>IF($J170="","",INDEX('Transactions'!$E$1:$E$106,$J170))</f>
      </c>
      <c r="F170" s="2" t="str">
        <f>IF($J170="","",INDEX('Transactions'!$I$1:$I$106,$J170))</f>
      </c>
      <c r="G170" s="2" t="str">
        <f>IF($J170="","",INDEX('Transactions'!$F$1:$F$106,$J170))</f>
      </c>
      <c r="H170" s="2" t="str">
        <f>IF($J170="","",INDEX('Transactions'!$G$1:$G$106,$J170))</f>
      </c>
      <c r="I170" s="2" t="str">
        <f>IF($J170="","",INDEX('Transactions'!$J$1:$J$106,$J170))</f>
      </c>
      <c r="J170" s="2" t="str">
        <f>IF(OR($C$4="",$F$4&gt;$I$4),"",IFERROR(MATCH(164,'Transactions'!$M$7:$M$106,0)+6,""))</f>
      </c>
    </row>
    <row r="171" ht="24" customHeight="1">
      <c r="A171" s="2" t="str">
        <f>IF($J171="","",INDEX('Transactions'!$A$1:$A$106,$J171))</f>
      </c>
      <c r="B171" s="26" t="str">
        <f>IF($J171="","",INDEX('Transactions'!$B$1:$B$106,$J171))</f>
      </c>
      <c r="C171" s="2" t="str">
        <f>IF($J171="","",INDEX('Transactions'!$K$1:$K$106,$J171))</f>
      </c>
      <c r="D171" s="2" t="str">
        <f>IF($J171="","",INDEX('Transactions'!$D$1:$D$106,$J171))</f>
      </c>
      <c r="E171" s="2" t="str">
        <f>IF($J171="","",INDEX('Transactions'!$E$1:$E$106,$J171))</f>
      </c>
      <c r="F171" s="2" t="str">
        <f>IF($J171="","",INDEX('Transactions'!$I$1:$I$106,$J171))</f>
      </c>
      <c r="G171" s="2" t="str">
        <f>IF($J171="","",INDEX('Transactions'!$F$1:$F$106,$J171))</f>
      </c>
      <c r="H171" s="2" t="str">
        <f>IF($J171="","",INDEX('Transactions'!$G$1:$G$106,$J171))</f>
      </c>
      <c r="I171" s="2" t="str">
        <f>IF($J171="","",INDEX('Transactions'!$J$1:$J$106,$J171))</f>
      </c>
      <c r="J171" s="2" t="str">
        <f>IF(OR($C$4="",$F$4&gt;$I$4),"",IFERROR(MATCH(165,'Transactions'!$M$7:$M$106,0)+6,""))</f>
      </c>
    </row>
    <row r="172" ht="24" customHeight="1">
      <c r="A172" s="2" t="str">
        <f>IF($J172="","",INDEX('Transactions'!$A$1:$A$106,$J172))</f>
      </c>
      <c r="B172" s="26" t="str">
        <f>IF($J172="","",INDEX('Transactions'!$B$1:$B$106,$J172))</f>
      </c>
      <c r="C172" s="2" t="str">
        <f>IF($J172="","",INDEX('Transactions'!$K$1:$K$106,$J172))</f>
      </c>
      <c r="D172" s="2" t="str">
        <f>IF($J172="","",INDEX('Transactions'!$D$1:$D$106,$J172))</f>
      </c>
      <c r="E172" s="2" t="str">
        <f>IF($J172="","",INDEX('Transactions'!$E$1:$E$106,$J172))</f>
      </c>
      <c r="F172" s="2" t="str">
        <f>IF($J172="","",INDEX('Transactions'!$I$1:$I$106,$J172))</f>
      </c>
      <c r="G172" s="2" t="str">
        <f>IF($J172="","",INDEX('Transactions'!$F$1:$F$106,$J172))</f>
      </c>
      <c r="H172" s="2" t="str">
        <f>IF($J172="","",INDEX('Transactions'!$G$1:$G$106,$J172))</f>
      </c>
      <c r="I172" s="2" t="str">
        <f>IF($J172="","",INDEX('Transactions'!$J$1:$J$106,$J172))</f>
      </c>
      <c r="J172" s="2" t="str">
        <f>IF(OR($C$4="",$F$4&gt;$I$4),"",IFERROR(MATCH(166,'Transactions'!$M$7:$M$106,0)+6,""))</f>
      </c>
    </row>
    <row r="173" ht="24" customHeight="1">
      <c r="A173" s="2" t="str">
        <f>IF($J173="","",INDEX('Transactions'!$A$1:$A$106,$J173))</f>
      </c>
      <c r="B173" s="26" t="str">
        <f>IF($J173="","",INDEX('Transactions'!$B$1:$B$106,$J173))</f>
      </c>
      <c r="C173" s="2" t="str">
        <f>IF($J173="","",INDEX('Transactions'!$K$1:$K$106,$J173))</f>
      </c>
      <c r="D173" s="2" t="str">
        <f>IF($J173="","",INDEX('Transactions'!$D$1:$D$106,$J173))</f>
      </c>
      <c r="E173" s="2" t="str">
        <f>IF($J173="","",INDEX('Transactions'!$E$1:$E$106,$J173))</f>
      </c>
      <c r="F173" s="2" t="str">
        <f>IF($J173="","",INDEX('Transactions'!$I$1:$I$106,$J173))</f>
      </c>
      <c r="G173" s="2" t="str">
        <f>IF($J173="","",INDEX('Transactions'!$F$1:$F$106,$J173))</f>
      </c>
      <c r="H173" s="2" t="str">
        <f>IF($J173="","",INDEX('Transactions'!$G$1:$G$106,$J173))</f>
      </c>
      <c r="I173" s="2" t="str">
        <f>IF($J173="","",INDEX('Transactions'!$J$1:$J$106,$J173))</f>
      </c>
      <c r="J173" s="2" t="str">
        <f>IF(OR($C$4="",$F$4&gt;$I$4),"",IFERROR(MATCH(167,'Transactions'!$M$7:$M$106,0)+6,""))</f>
      </c>
    </row>
    <row r="174" ht="24" customHeight="1">
      <c r="A174" s="2" t="str">
        <f>IF($J174="","",INDEX('Transactions'!$A$1:$A$106,$J174))</f>
      </c>
      <c r="B174" s="26" t="str">
        <f>IF($J174="","",INDEX('Transactions'!$B$1:$B$106,$J174))</f>
      </c>
      <c r="C174" s="2" t="str">
        <f>IF($J174="","",INDEX('Transactions'!$K$1:$K$106,$J174))</f>
      </c>
      <c r="D174" s="2" t="str">
        <f>IF($J174="","",INDEX('Transactions'!$D$1:$D$106,$J174))</f>
      </c>
      <c r="E174" s="2" t="str">
        <f>IF($J174="","",INDEX('Transactions'!$E$1:$E$106,$J174))</f>
      </c>
      <c r="F174" s="2" t="str">
        <f>IF($J174="","",INDEX('Transactions'!$I$1:$I$106,$J174))</f>
      </c>
      <c r="G174" s="2" t="str">
        <f>IF($J174="","",INDEX('Transactions'!$F$1:$F$106,$J174))</f>
      </c>
      <c r="H174" s="2" t="str">
        <f>IF($J174="","",INDEX('Transactions'!$G$1:$G$106,$J174))</f>
      </c>
      <c r="I174" s="2" t="str">
        <f>IF($J174="","",INDEX('Transactions'!$J$1:$J$106,$J174))</f>
      </c>
      <c r="J174" s="2" t="str">
        <f>IF(OR($C$4="",$F$4&gt;$I$4),"",IFERROR(MATCH(168,'Transactions'!$M$7:$M$106,0)+6,""))</f>
      </c>
    </row>
    <row r="175" ht="24" customHeight="1">
      <c r="A175" s="2" t="str">
        <f>IF($J175="","",INDEX('Transactions'!$A$1:$A$106,$J175))</f>
      </c>
      <c r="B175" s="26" t="str">
        <f>IF($J175="","",INDEX('Transactions'!$B$1:$B$106,$J175))</f>
      </c>
      <c r="C175" s="2" t="str">
        <f>IF($J175="","",INDEX('Transactions'!$K$1:$K$106,$J175))</f>
      </c>
      <c r="D175" s="2" t="str">
        <f>IF($J175="","",INDEX('Transactions'!$D$1:$D$106,$J175))</f>
      </c>
      <c r="E175" s="2" t="str">
        <f>IF($J175="","",INDEX('Transactions'!$E$1:$E$106,$J175))</f>
      </c>
      <c r="F175" s="2" t="str">
        <f>IF($J175="","",INDEX('Transactions'!$I$1:$I$106,$J175))</f>
      </c>
      <c r="G175" s="2" t="str">
        <f>IF($J175="","",INDEX('Transactions'!$F$1:$F$106,$J175))</f>
      </c>
      <c r="H175" s="2" t="str">
        <f>IF($J175="","",INDEX('Transactions'!$G$1:$G$106,$J175))</f>
      </c>
      <c r="I175" s="2" t="str">
        <f>IF($J175="","",INDEX('Transactions'!$J$1:$J$106,$J175))</f>
      </c>
      <c r="J175" s="2" t="str">
        <f>IF(OR($C$4="",$F$4&gt;$I$4),"",IFERROR(MATCH(169,'Transactions'!$M$7:$M$106,0)+6,""))</f>
      </c>
    </row>
    <row r="176" ht="24" customHeight="1">
      <c r="A176" s="2" t="str">
        <f>IF($J176="","",INDEX('Transactions'!$A$1:$A$106,$J176))</f>
      </c>
      <c r="B176" s="26" t="str">
        <f>IF($J176="","",INDEX('Transactions'!$B$1:$B$106,$J176))</f>
      </c>
      <c r="C176" s="2" t="str">
        <f>IF($J176="","",INDEX('Transactions'!$K$1:$K$106,$J176))</f>
      </c>
      <c r="D176" s="2" t="str">
        <f>IF($J176="","",INDEX('Transactions'!$D$1:$D$106,$J176))</f>
      </c>
      <c r="E176" s="2" t="str">
        <f>IF($J176="","",INDEX('Transactions'!$E$1:$E$106,$J176))</f>
      </c>
      <c r="F176" s="2" t="str">
        <f>IF($J176="","",INDEX('Transactions'!$I$1:$I$106,$J176))</f>
      </c>
      <c r="G176" s="2" t="str">
        <f>IF($J176="","",INDEX('Transactions'!$F$1:$F$106,$J176))</f>
      </c>
      <c r="H176" s="2" t="str">
        <f>IF($J176="","",INDEX('Transactions'!$G$1:$G$106,$J176))</f>
      </c>
      <c r="I176" s="2" t="str">
        <f>IF($J176="","",INDEX('Transactions'!$J$1:$J$106,$J176))</f>
      </c>
      <c r="J176" s="2" t="str">
        <f>IF(OR($C$4="",$F$4&gt;$I$4),"",IFERROR(MATCH(170,'Transactions'!$M$7:$M$106,0)+6,""))</f>
      </c>
    </row>
    <row r="177" ht="24" customHeight="1">
      <c r="A177" s="2" t="str">
        <f>IF($J177="","",INDEX('Transactions'!$A$1:$A$106,$J177))</f>
      </c>
      <c r="B177" s="26" t="str">
        <f>IF($J177="","",INDEX('Transactions'!$B$1:$B$106,$J177))</f>
      </c>
      <c r="C177" s="2" t="str">
        <f>IF($J177="","",INDEX('Transactions'!$K$1:$K$106,$J177))</f>
      </c>
      <c r="D177" s="2" t="str">
        <f>IF($J177="","",INDEX('Transactions'!$D$1:$D$106,$J177))</f>
      </c>
      <c r="E177" s="2" t="str">
        <f>IF($J177="","",INDEX('Transactions'!$E$1:$E$106,$J177))</f>
      </c>
      <c r="F177" s="2" t="str">
        <f>IF($J177="","",INDEX('Transactions'!$I$1:$I$106,$J177))</f>
      </c>
      <c r="G177" s="2" t="str">
        <f>IF($J177="","",INDEX('Transactions'!$F$1:$F$106,$J177))</f>
      </c>
      <c r="H177" s="2" t="str">
        <f>IF($J177="","",INDEX('Transactions'!$G$1:$G$106,$J177))</f>
      </c>
      <c r="I177" s="2" t="str">
        <f>IF($J177="","",INDEX('Transactions'!$J$1:$J$106,$J177))</f>
      </c>
      <c r="J177" s="2" t="str">
        <f>IF(OR($C$4="",$F$4&gt;$I$4),"",IFERROR(MATCH(171,'Transactions'!$M$7:$M$106,0)+6,""))</f>
      </c>
    </row>
    <row r="178" ht="24" customHeight="1">
      <c r="A178" s="2" t="str">
        <f>IF($J178="","",INDEX('Transactions'!$A$1:$A$106,$J178))</f>
      </c>
      <c r="B178" s="26" t="str">
        <f>IF($J178="","",INDEX('Transactions'!$B$1:$B$106,$J178))</f>
      </c>
      <c r="C178" s="2" t="str">
        <f>IF($J178="","",INDEX('Transactions'!$K$1:$K$106,$J178))</f>
      </c>
      <c r="D178" s="2" t="str">
        <f>IF($J178="","",INDEX('Transactions'!$D$1:$D$106,$J178))</f>
      </c>
      <c r="E178" s="2" t="str">
        <f>IF($J178="","",INDEX('Transactions'!$E$1:$E$106,$J178))</f>
      </c>
      <c r="F178" s="2" t="str">
        <f>IF($J178="","",INDEX('Transactions'!$I$1:$I$106,$J178))</f>
      </c>
      <c r="G178" s="2" t="str">
        <f>IF($J178="","",INDEX('Transactions'!$F$1:$F$106,$J178))</f>
      </c>
      <c r="H178" s="2" t="str">
        <f>IF($J178="","",INDEX('Transactions'!$G$1:$G$106,$J178))</f>
      </c>
      <c r="I178" s="2" t="str">
        <f>IF($J178="","",INDEX('Transactions'!$J$1:$J$106,$J178))</f>
      </c>
      <c r="J178" s="2" t="str">
        <f>IF(OR($C$4="",$F$4&gt;$I$4),"",IFERROR(MATCH(172,'Transactions'!$M$7:$M$106,0)+6,""))</f>
      </c>
    </row>
    <row r="179" ht="24" customHeight="1">
      <c r="A179" s="2" t="str">
        <f>IF($J179="","",INDEX('Transactions'!$A$1:$A$106,$J179))</f>
      </c>
      <c r="B179" s="26" t="str">
        <f>IF($J179="","",INDEX('Transactions'!$B$1:$B$106,$J179))</f>
      </c>
      <c r="C179" s="2" t="str">
        <f>IF($J179="","",INDEX('Transactions'!$K$1:$K$106,$J179))</f>
      </c>
      <c r="D179" s="2" t="str">
        <f>IF($J179="","",INDEX('Transactions'!$D$1:$D$106,$J179))</f>
      </c>
      <c r="E179" s="2" t="str">
        <f>IF($J179="","",INDEX('Transactions'!$E$1:$E$106,$J179))</f>
      </c>
      <c r="F179" s="2" t="str">
        <f>IF($J179="","",INDEX('Transactions'!$I$1:$I$106,$J179))</f>
      </c>
      <c r="G179" s="2" t="str">
        <f>IF($J179="","",INDEX('Transactions'!$F$1:$F$106,$J179))</f>
      </c>
      <c r="H179" s="2" t="str">
        <f>IF($J179="","",INDEX('Transactions'!$G$1:$G$106,$J179))</f>
      </c>
      <c r="I179" s="2" t="str">
        <f>IF($J179="","",INDEX('Transactions'!$J$1:$J$106,$J179))</f>
      </c>
      <c r="J179" s="2" t="str">
        <f>IF(OR($C$4="",$F$4&gt;$I$4),"",IFERROR(MATCH(173,'Transactions'!$M$7:$M$106,0)+6,""))</f>
      </c>
    </row>
    <row r="180" ht="24" customHeight="1">
      <c r="A180" s="2" t="str">
        <f>IF($J180="","",INDEX('Transactions'!$A$1:$A$106,$J180))</f>
      </c>
      <c r="B180" s="26" t="str">
        <f>IF($J180="","",INDEX('Transactions'!$B$1:$B$106,$J180))</f>
      </c>
      <c r="C180" s="2" t="str">
        <f>IF($J180="","",INDEX('Transactions'!$K$1:$K$106,$J180))</f>
      </c>
      <c r="D180" s="2" t="str">
        <f>IF($J180="","",INDEX('Transactions'!$D$1:$D$106,$J180))</f>
      </c>
      <c r="E180" s="2" t="str">
        <f>IF($J180="","",INDEX('Transactions'!$E$1:$E$106,$J180))</f>
      </c>
      <c r="F180" s="2" t="str">
        <f>IF($J180="","",INDEX('Transactions'!$I$1:$I$106,$J180))</f>
      </c>
      <c r="G180" s="2" t="str">
        <f>IF($J180="","",INDEX('Transactions'!$F$1:$F$106,$J180))</f>
      </c>
      <c r="H180" s="2" t="str">
        <f>IF($J180="","",INDEX('Transactions'!$G$1:$G$106,$J180))</f>
      </c>
      <c r="I180" s="2" t="str">
        <f>IF($J180="","",INDEX('Transactions'!$J$1:$J$106,$J180))</f>
      </c>
      <c r="J180" s="2" t="str">
        <f>IF(OR($C$4="",$F$4&gt;$I$4),"",IFERROR(MATCH(174,'Transactions'!$M$7:$M$106,0)+6,""))</f>
      </c>
    </row>
    <row r="181" ht="24" customHeight="1">
      <c r="A181" s="2" t="str">
        <f>IF($J181="","",INDEX('Transactions'!$A$1:$A$106,$J181))</f>
      </c>
      <c r="B181" s="26" t="str">
        <f>IF($J181="","",INDEX('Transactions'!$B$1:$B$106,$J181))</f>
      </c>
      <c r="C181" s="2" t="str">
        <f>IF($J181="","",INDEX('Transactions'!$K$1:$K$106,$J181))</f>
      </c>
      <c r="D181" s="2" t="str">
        <f>IF($J181="","",INDEX('Transactions'!$D$1:$D$106,$J181))</f>
      </c>
      <c r="E181" s="2" t="str">
        <f>IF($J181="","",INDEX('Transactions'!$E$1:$E$106,$J181))</f>
      </c>
      <c r="F181" s="2" t="str">
        <f>IF($J181="","",INDEX('Transactions'!$I$1:$I$106,$J181))</f>
      </c>
      <c r="G181" s="2" t="str">
        <f>IF($J181="","",INDEX('Transactions'!$F$1:$F$106,$J181))</f>
      </c>
      <c r="H181" s="2" t="str">
        <f>IF($J181="","",INDEX('Transactions'!$G$1:$G$106,$J181))</f>
      </c>
      <c r="I181" s="2" t="str">
        <f>IF($J181="","",INDEX('Transactions'!$J$1:$J$106,$J181))</f>
      </c>
      <c r="J181" s="2" t="str">
        <f>IF(OR($C$4="",$F$4&gt;$I$4),"",IFERROR(MATCH(175,'Transactions'!$M$7:$M$106,0)+6,""))</f>
      </c>
    </row>
    <row r="182" ht="24" customHeight="1">
      <c r="A182" s="2" t="str">
        <f>IF($J182="","",INDEX('Transactions'!$A$1:$A$106,$J182))</f>
      </c>
      <c r="B182" s="26" t="str">
        <f>IF($J182="","",INDEX('Transactions'!$B$1:$B$106,$J182))</f>
      </c>
      <c r="C182" s="2" t="str">
        <f>IF($J182="","",INDEX('Transactions'!$K$1:$K$106,$J182))</f>
      </c>
      <c r="D182" s="2" t="str">
        <f>IF($J182="","",INDEX('Transactions'!$D$1:$D$106,$J182))</f>
      </c>
      <c r="E182" s="2" t="str">
        <f>IF($J182="","",INDEX('Transactions'!$E$1:$E$106,$J182))</f>
      </c>
      <c r="F182" s="2" t="str">
        <f>IF($J182="","",INDEX('Transactions'!$I$1:$I$106,$J182))</f>
      </c>
      <c r="G182" s="2" t="str">
        <f>IF($J182="","",INDEX('Transactions'!$F$1:$F$106,$J182))</f>
      </c>
      <c r="H182" s="2" t="str">
        <f>IF($J182="","",INDEX('Transactions'!$G$1:$G$106,$J182))</f>
      </c>
      <c r="I182" s="2" t="str">
        <f>IF($J182="","",INDEX('Transactions'!$J$1:$J$106,$J182))</f>
      </c>
      <c r="J182" s="2" t="str">
        <f>IF(OR($C$4="",$F$4&gt;$I$4),"",IFERROR(MATCH(176,'Transactions'!$M$7:$M$106,0)+6,""))</f>
      </c>
    </row>
    <row r="183" ht="24" customHeight="1">
      <c r="A183" s="2" t="str">
        <f>IF($J183="","",INDEX('Transactions'!$A$1:$A$106,$J183))</f>
      </c>
      <c r="B183" s="26" t="str">
        <f>IF($J183="","",INDEX('Transactions'!$B$1:$B$106,$J183))</f>
      </c>
      <c r="C183" s="2" t="str">
        <f>IF($J183="","",INDEX('Transactions'!$K$1:$K$106,$J183))</f>
      </c>
      <c r="D183" s="2" t="str">
        <f>IF($J183="","",INDEX('Transactions'!$D$1:$D$106,$J183))</f>
      </c>
      <c r="E183" s="2" t="str">
        <f>IF($J183="","",INDEX('Transactions'!$E$1:$E$106,$J183))</f>
      </c>
      <c r="F183" s="2" t="str">
        <f>IF($J183="","",INDEX('Transactions'!$I$1:$I$106,$J183))</f>
      </c>
      <c r="G183" s="2" t="str">
        <f>IF($J183="","",INDEX('Transactions'!$F$1:$F$106,$J183))</f>
      </c>
      <c r="H183" s="2" t="str">
        <f>IF($J183="","",INDEX('Transactions'!$G$1:$G$106,$J183))</f>
      </c>
      <c r="I183" s="2" t="str">
        <f>IF($J183="","",INDEX('Transactions'!$J$1:$J$106,$J183))</f>
      </c>
      <c r="J183" s="2" t="str">
        <f>IF(OR($C$4="",$F$4&gt;$I$4),"",IFERROR(MATCH(177,'Transactions'!$M$7:$M$106,0)+6,""))</f>
      </c>
    </row>
    <row r="184" ht="24" customHeight="1">
      <c r="A184" s="2" t="str">
        <f>IF($J184="","",INDEX('Transactions'!$A$1:$A$106,$J184))</f>
      </c>
      <c r="B184" s="26" t="str">
        <f>IF($J184="","",INDEX('Transactions'!$B$1:$B$106,$J184))</f>
      </c>
      <c r="C184" s="2" t="str">
        <f>IF($J184="","",INDEX('Transactions'!$K$1:$K$106,$J184))</f>
      </c>
      <c r="D184" s="2" t="str">
        <f>IF($J184="","",INDEX('Transactions'!$D$1:$D$106,$J184))</f>
      </c>
      <c r="E184" s="2" t="str">
        <f>IF($J184="","",INDEX('Transactions'!$E$1:$E$106,$J184))</f>
      </c>
      <c r="F184" s="2" t="str">
        <f>IF($J184="","",INDEX('Transactions'!$I$1:$I$106,$J184))</f>
      </c>
      <c r="G184" s="2" t="str">
        <f>IF($J184="","",INDEX('Transactions'!$F$1:$F$106,$J184))</f>
      </c>
      <c r="H184" s="2" t="str">
        <f>IF($J184="","",INDEX('Transactions'!$G$1:$G$106,$J184))</f>
      </c>
      <c r="I184" s="2" t="str">
        <f>IF($J184="","",INDEX('Transactions'!$J$1:$J$106,$J184))</f>
      </c>
      <c r="J184" s="2" t="str">
        <f>IF(OR($C$4="",$F$4&gt;$I$4),"",IFERROR(MATCH(178,'Transactions'!$M$7:$M$106,0)+6,""))</f>
      </c>
    </row>
    <row r="185" ht="24" customHeight="1">
      <c r="A185" s="2" t="str">
        <f>IF($J185="","",INDEX('Transactions'!$A$1:$A$106,$J185))</f>
      </c>
      <c r="B185" s="26" t="str">
        <f>IF($J185="","",INDEX('Transactions'!$B$1:$B$106,$J185))</f>
      </c>
      <c r="C185" s="2" t="str">
        <f>IF($J185="","",INDEX('Transactions'!$K$1:$K$106,$J185))</f>
      </c>
      <c r="D185" s="2" t="str">
        <f>IF($J185="","",INDEX('Transactions'!$D$1:$D$106,$J185))</f>
      </c>
      <c r="E185" s="2" t="str">
        <f>IF($J185="","",INDEX('Transactions'!$E$1:$E$106,$J185))</f>
      </c>
      <c r="F185" s="2" t="str">
        <f>IF($J185="","",INDEX('Transactions'!$I$1:$I$106,$J185))</f>
      </c>
      <c r="G185" s="2" t="str">
        <f>IF($J185="","",INDEX('Transactions'!$F$1:$F$106,$J185))</f>
      </c>
      <c r="H185" s="2" t="str">
        <f>IF($J185="","",INDEX('Transactions'!$G$1:$G$106,$J185))</f>
      </c>
      <c r="I185" s="2" t="str">
        <f>IF($J185="","",INDEX('Transactions'!$J$1:$J$106,$J185))</f>
      </c>
      <c r="J185" s="2" t="str">
        <f>IF(OR($C$4="",$F$4&gt;$I$4),"",IFERROR(MATCH(179,'Transactions'!$M$7:$M$106,0)+6,""))</f>
      </c>
    </row>
    <row r="186" ht="24" customHeight="1">
      <c r="A186" s="2" t="str">
        <f>IF($J186="","",INDEX('Transactions'!$A$1:$A$106,$J186))</f>
      </c>
      <c r="B186" s="26" t="str">
        <f>IF($J186="","",INDEX('Transactions'!$B$1:$B$106,$J186))</f>
      </c>
      <c r="C186" s="2" t="str">
        <f>IF($J186="","",INDEX('Transactions'!$K$1:$K$106,$J186))</f>
      </c>
      <c r="D186" s="2" t="str">
        <f>IF($J186="","",INDEX('Transactions'!$D$1:$D$106,$J186))</f>
      </c>
      <c r="E186" s="2" t="str">
        <f>IF($J186="","",INDEX('Transactions'!$E$1:$E$106,$J186))</f>
      </c>
      <c r="F186" s="2" t="str">
        <f>IF($J186="","",INDEX('Transactions'!$I$1:$I$106,$J186))</f>
      </c>
      <c r="G186" s="2" t="str">
        <f>IF($J186="","",INDEX('Transactions'!$F$1:$F$106,$J186))</f>
      </c>
      <c r="H186" s="2" t="str">
        <f>IF($J186="","",INDEX('Transactions'!$G$1:$G$106,$J186))</f>
      </c>
      <c r="I186" s="2" t="str">
        <f>IF($J186="","",INDEX('Transactions'!$J$1:$J$106,$J186))</f>
      </c>
      <c r="J186" s="2" t="str">
        <f>IF(OR($C$4="",$F$4&gt;$I$4),"",IFERROR(MATCH(180,'Transactions'!$M$7:$M$106,0)+6,""))</f>
      </c>
    </row>
    <row r="187" ht="24" customHeight="1">
      <c r="A187" s="2" t="str">
        <f>IF($J187="","",INDEX('Transactions'!$A$1:$A$106,$J187))</f>
      </c>
      <c r="B187" s="26" t="str">
        <f>IF($J187="","",INDEX('Transactions'!$B$1:$B$106,$J187))</f>
      </c>
      <c r="C187" s="2" t="str">
        <f>IF($J187="","",INDEX('Transactions'!$K$1:$K$106,$J187))</f>
      </c>
      <c r="D187" s="2" t="str">
        <f>IF($J187="","",INDEX('Transactions'!$D$1:$D$106,$J187))</f>
      </c>
      <c r="E187" s="2" t="str">
        <f>IF($J187="","",INDEX('Transactions'!$E$1:$E$106,$J187))</f>
      </c>
      <c r="F187" s="2" t="str">
        <f>IF($J187="","",INDEX('Transactions'!$I$1:$I$106,$J187))</f>
      </c>
      <c r="G187" s="2" t="str">
        <f>IF($J187="","",INDEX('Transactions'!$F$1:$F$106,$J187))</f>
      </c>
      <c r="H187" s="2" t="str">
        <f>IF($J187="","",INDEX('Transactions'!$G$1:$G$106,$J187))</f>
      </c>
      <c r="I187" s="2" t="str">
        <f>IF($J187="","",INDEX('Transactions'!$J$1:$J$106,$J187))</f>
      </c>
      <c r="J187" s="2" t="str">
        <f>IF(OR($C$4="",$F$4&gt;$I$4),"",IFERROR(MATCH(181,'Transactions'!$M$7:$M$106,0)+6,""))</f>
      </c>
    </row>
    <row r="188" ht="24" customHeight="1">
      <c r="A188" s="2" t="str">
        <f>IF($J188="","",INDEX('Transactions'!$A$1:$A$106,$J188))</f>
      </c>
      <c r="B188" s="26" t="str">
        <f>IF($J188="","",INDEX('Transactions'!$B$1:$B$106,$J188))</f>
      </c>
      <c r="C188" s="2" t="str">
        <f>IF($J188="","",INDEX('Transactions'!$K$1:$K$106,$J188))</f>
      </c>
      <c r="D188" s="2" t="str">
        <f>IF($J188="","",INDEX('Transactions'!$D$1:$D$106,$J188))</f>
      </c>
      <c r="E188" s="2" t="str">
        <f>IF($J188="","",INDEX('Transactions'!$E$1:$E$106,$J188))</f>
      </c>
      <c r="F188" s="2" t="str">
        <f>IF($J188="","",INDEX('Transactions'!$I$1:$I$106,$J188))</f>
      </c>
      <c r="G188" s="2" t="str">
        <f>IF($J188="","",INDEX('Transactions'!$F$1:$F$106,$J188))</f>
      </c>
      <c r="H188" s="2" t="str">
        <f>IF($J188="","",INDEX('Transactions'!$G$1:$G$106,$J188))</f>
      </c>
      <c r="I188" s="2" t="str">
        <f>IF($J188="","",INDEX('Transactions'!$J$1:$J$106,$J188))</f>
      </c>
      <c r="J188" s="2" t="str">
        <f>IF(OR($C$4="",$F$4&gt;$I$4),"",IFERROR(MATCH(182,'Transactions'!$M$7:$M$106,0)+6,""))</f>
      </c>
    </row>
    <row r="189" ht="24" customHeight="1">
      <c r="A189" s="2" t="str">
        <f>IF($J189="","",INDEX('Transactions'!$A$1:$A$106,$J189))</f>
      </c>
      <c r="B189" s="26" t="str">
        <f>IF($J189="","",INDEX('Transactions'!$B$1:$B$106,$J189))</f>
      </c>
      <c r="C189" s="2" t="str">
        <f>IF($J189="","",INDEX('Transactions'!$K$1:$K$106,$J189))</f>
      </c>
      <c r="D189" s="2" t="str">
        <f>IF($J189="","",INDEX('Transactions'!$D$1:$D$106,$J189))</f>
      </c>
      <c r="E189" s="2" t="str">
        <f>IF($J189="","",INDEX('Transactions'!$E$1:$E$106,$J189))</f>
      </c>
      <c r="F189" s="2" t="str">
        <f>IF($J189="","",INDEX('Transactions'!$I$1:$I$106,$J189))</f>
      </c>
      <c r="G189" s="2" t="str">
        <f>IF($J189="","",INDEX('Transactions'!$F$1:$F$106,$J189))</f>
      </c>
      <c r="H189" s="2" t="str">
        <f>IF($J189="","",INDEX('Transactions'!$G$1:$G$106,$J189))</f>
      </c>
      <c r="I189" s="2" t="str">
        <f>IF($J189="","",INDEX('Transactions'!$J$1:$J$106,$J189))</f>
      </c>
      <c r="J189" s="2" t="str">
        <f>IF(OR($C$4="",$F$4&gt;$I$4),"",IFERROR(MATCH(183,'Transactions'!$M$7:$M$106,0)+6,""))</f>
      </c>
    </row>
    <row r="190" ht="24" customHeight="1">
      <c r="A190" s="2" t="str">
        <f>IF($J190="","",INDEX('Transactions'!$A$1:$A$106,$J190))</f>
      </c>
      <c r="B190" s="26" t="str">
        <f>IF($J190="","",INDEX('Transactions'!$B$1:$B$106,$J190))</f>
      </c>
      <c r="C190" s="2" t="str">
        <f>IF($J190="","",INDEX('Transactions'!$K$1:$K$106,$J190))</f>
      </c>
      <c r="D190" s="2" t="str">
        <f>IF($J190="","",INDEX('Transactions'!$D$1:$D$106,$J190))</f>
      </c>
      <c r="E190" s="2" t="str">
        <f>IF($J190="","",INDEX('Transactions'!$E$1:$E$106,$J190))</f>
      </c>
      <c r="F190" s="2" t="str">
        <f>IF($J190="","",INDEX('Transactions'!$I$1:$I$106,$J190))</f>
      </c>
      <c r="G190" s="2" t="str">
        <f>IF($J190="","",INDEX('Transactions'!$F$1:$F$106,$J190))</f>
      </c>
      <c r="H190" s="2" t="str">
        <f>IF($J190="","",INDEX('Transactions'!$G$1:$G$106,$J190))</f>
      </c>
      <c r="I190" s="2" t="str">
        <f>IF($J190="","",INDEX('Transactions'!$J$1:$J$106,$J190))</f>
      </c>
      <c r="J190" s="2" t="str">
        <f>IF(OR($C$4="",$F$4&gt;$I$4),"",IFERROR(MATCH(184,'Transactions'!$M$7:$M$106,0)+6,""))</f>
      </c>
    </row>
    <row r="191" ht="24" customHeight="1">
      <c r="A191" s="2" t="str">
        <f>IF($J191="","",INDEX('Transactions'!$A$1:$A$106,$J191))</f>
      </c>
      <c r="B191" s="26" t="str">
        <f>IF($J191="","",INDEX('Transactions'!$B$1:$B$106,$J191))</f>
      </c>
      <c r="C191" s="2" t="str">
        <f>IF($J191="","",INDEX('Transactions'!$K$1:$K$106,$J191))</f>
      </c>
      <c r="D191" s="2" t="str">
        <f>IF($J191="","",INDEX('Transactions'!$D$1:$D$106,$J191))</f>
      </c>
      <c r="E191" s="2" t="str">
        <f>IF($J191="","",INDEX('Transactions'!$E$1:$E$106,$J191))</f>
      </c>
      <c r="F191" s="2" t="str">
        <f>IF($J191="","",INDEX('Transactions'!$I$1:$I$106,$J191))</f>
      </c>
      <c r="G191" s="2" t="str">
        <f>IF($J191="","",INDEX('Transactions'!$F$1:$F$106,$J191))</f>
      </c>
      <c r="H191" s="2" t="str">
        <f>IF($J191="","",INDEX('Transactions'!$G$1:$G$106,$J191))</f>
      </c>
      <c r="I191" s="2" t="str">
        <f>IF($J191="","",INDEX('Transactions'!$J$1:$J$106,$J191))</f>
      </c>
      <c r="J191" s="2" t="str">
        <f>IF(OR($C$4="",$F$4&gt;$I$4),"",IFERROR(MATCH(185,'Transactions'!$M$7:$M$106,0)+6,""))</f>
      </c>
    </row>
    <row r="192" ht="24" customHeight="1">
      <c r="A192" s="2" t="str">
        <f>IF($J192="","",INDEX('Transactions'!$A$1:$A$106,$J192))</f>
      </c>
      <c r="B192" s="26" t="str">
        <f>IF($J192="","",INDEX('Transactions'!$B$1:$B$106,$J192))</f>
      </c>
      <c r="C192" s="2" t="str">
        <f>IF($J192="","",INDEX('Transactions'!$K$1:$K$106,$J192))</f>
      </c>
      <c r="D192" s="2" t="str">
        <f>IF($J192="","",INDEX('Transactions'!$D$1:$D$106,$J192))</f>
      </c>
      <c r="E192" s="2" t="str">
        <f>IF($J192="","",INDEX('Transactions'!$E$1:$E$106,$J192))</f>
      </c>
      <c r="F192" s="2" t="str">
        <f>IF($J192="","",INDEX('Transactions'!$I$1:$I$106,$J192))</f>
      </c>
      <c r="G192" s="2" t="str">
        <f>IF($J192="","",INDEX('Transactions'!$F$1:$F$106,$J192))</f>
      </c>
      <c r="H192" s="2" t="str">
        <f>IF($J192="","",INDEX('Transactions'!$G$1:$G$106,$J192))</f>
      </c>
      <c r="I192" s="2" t="str">
        <f>IF($J192="","",INDEX('Transactions'!$J$1:$J$106,$J192))</f>
      </c>
      <c r="J192" s="2" t="str">
        <f>IF(OR($C$4="",$F$4&gt;$I$4),"",IFERROR(MATCH(186,'Transactions'!$M$7:$M$106,0)+6,""))</f>
      </c>
    </row>
    <row r="193" ht="24" customHeight="1">
      <c r="A193" s="2" t="str">
        <f>IF($J193="","",INDEX('Transactions'!$A$1:$A$106,$J193))</f>
      </c>
      <c r="B193" s="26" t="str">
        <f>IF($J193="","",INDEX('Transactions'!$B$1:$B$106,$J193))</f>
      </c>
      <c r="C193" s="2" t="str">
        <f>IF($J193="","",INDEX('Transactions'!$K$1:$K$106,$J193))</f>
      </c>
      <c r="D193" s="2" t="str">
        <f>IF($J193="","",INDEX('Transactions'!$D$1:$D$106,$J193))</f>
      </c>
      <c r="E193" s="2" t="str">
        <f>IF($J193="","",INDEX('Transactions'!$E$1:$E$106,$J193))</f>
      </c>
      <c r="F193" s="2" t="str">
        <f>IF($J193="","",INDEX('Transactions'!$I$1:$I$106,$J193))</f>
      </c>
      <c r="G193" s="2" t="str">
        <f>IF($J193="","",INDEX('Transactions'!$F$1:$F$106,$J193))</f>
      </c>
      <c r="H193" s="2" t="str">
        <f>IF($J193="","",INDEX('Transactions'!$G$1:$G$106,$J193))</f>
      </c>
      <c r="I193" s="2" t="str">
        <f>IF($J193="","",INDEX('Transactions'!$J$1:$J$106,$J193))</f>
      </c>
      <c r="J193" s="2" t="str">
        <f>IF(OR($C$4="",$F$4&gt;$I$4),"",IFERROR(MATCH(187,'Transactions'!$M$7:$M$106,0)+6,""))</f>
      </c>
    </row>
    <row r="194" ht="24" customHeight="1">
      <c r="A194" s="2" t="str">
        <f>IF($J194="","",INDEX('Transactions'!$A$1:$A$106,$J194))</f>
      </c>
      <c r="B194" s="26" t="str">
        <f>IF($J194="","",INDEX('Transactions'!$B$1:$B$106,$J194))</f>
      </c>
      <c r="C194" s="2" t="str">
        <f>IF($J194="","",INDEX('Transactions'!$K$1:$K$106,$J194))</f>
      </c>
      <c r="D194" s="2" t="str">
        <f>IF($J194="","",INDEX('Transactions'!$D$1:$D$106,$J194))</f>
      </c>
      <c r="E194" s="2" t="str">
        <f>IF($J194="","",INDEX('Transactions'!$E$1:$E$106,$J194))</f>
      </c>
      <c r="F194" s="2" t="str">
        <f>IF($J194="","",INDEX('Transactions'!$I$1:$I$106,$J194))</f>
      </c>
      <c r="G194" s="2" t="str">
        <f>IF($J194="","",INDEX('Transactions'!$F$1:$F$106,$J194))</f>
      </c>
      <c r="H194" s="2" t="str">
        <f>IF($J194="","",INDEX('Transactions'!$G$1:$G$106,$J194))</f>
      </c>
      <c r="I194" s="2" t="str">
        <f>IF($J194="","",INDEX('Transactions'!$J$1:$J$106,$J194))</f>
      </c>
      <c r="J194" s="2" t="str">
        <f>IF(OR($C$4="",$F$4&gt;$I$4),"",IFERROR(MATCH(188,'Transactions'!$M$7:$M$106,0)+6,""))</f>
      </c>
    </row>
    <row r="195" ht="24" customHeight="1">
      <c r="A195" s="2" t="str">
        <f>IF($J195="","",INDEX('Transactions'!$A$1:$A$106,$J195))</f>
      </c>
      <c r="B195" s="26" t="str">
        <f>IF($J195="","",INDEX('Transactions'!$B$1:$B$106,$J195))</f>
      </c>
      <c r="C195" s="2" t="str">
        <f>IF($J195="","",INDEX('Transactions'!$K$1:$K$106,$J195))</f>
      </c>
      <c r="D195" s="2" t="str">
        <f>IF($J195="","",INDEX('Transactions'!$D$1:$D$106,$J195))</f>
      </c>
      <c r="E195" s="2" t="str">
        <f>IF($J195="","",INDEX('Transactions'!$E$1:$E$106,$J195))</f>
      </c>
      <c r="F195" s="2" t="str">
        <f>IF($J195="","",INDEX('Transactions'!$I$1:$I$106,$J195))</f>
      </c>
      <c r="G195" s="2" t="str">
        <f>IF($J195="","",INDEX('Transactions'!$F$1:$F$106,$J195))</f>
      </c>
      <c r="H195" s="2" t="str">
        <f>IF($J195="","",INDEX('Transactions'!$G$1:$G$106,$J195))</f>
      </c>
      <c r="I195" s="2" t="str">
        <f>IF($J195="","",INDEX('Transactions'!$J$1:$J$106,$J195))</f>
      </c>
      <c r="J195" s="2" t="str">
        <f>IF(OR($C$4="",$F$4&gt;$I$4),"",IFERROR(MATCH(189,'Transactions'!$M$7:$M$106,0)+6,""))</f>
      </c>
    </row>
    <row r="196" ht="24" customHeight="1">
      <c r="A196" s="2" t="str">
        <f>IF($J196="","",INDEX('Transactions'!$A$1:$A$106,$J196))</f>
      </c>
      <c r="B196" s="26" t="str">
        <f>IF($J196="","",INDEX('Transactions'!$B$1:$B$106,$J196))</f>
      </c>
      <c r="C196" s="2" t="str">
        <f>IF($J196="","",INDEX('Transactions'!$K$1:$K$106,$J196))</f>
      </c>
      <c r="D196" s="2" t="str">
        <f>IF($J196="","",INDEX('Transactions'!$D$1:$D$106,$J196))</f>
      </c>
      <c r="E196" s="2" t="str">
        <f>IF($J196="","",INDEX('Transactions'!$E$1:$E$106,$J196))</f>
      </c>
      <c r="F196" s="2" t="str">
        <f>IF($J196="","",INDEX('Transactions'!$I$1:$I$106,$J196))</f>
      </c>
      <c r="G196" s="2" t="str">
        <f>IF($J196="","",INDEX('Transactions'!$F$1:$F$106,$J196))</f>
      </c>
      <c r="H196" s="2" t="str">
        <f>IF($J196="","",INDEX('Transactions'!$G$1:$G$106,$J196))</f>
      </c>
      <c r="I196" s="2" t="str">
        <f>IF($J196="","",INDEX('Transactions'!$J$1:$J$106,$J196))</f>
      </c>
      <c r="J196" s="2" t="str">
        <f>IF(OR($C$4="",$F$4&gt;$I$4),"",IFERROR(MATCH(190,'Transactions'!$M$7:$M$106,0)+6,""))</f>
      </c>
    </row>
    <row r="197" ht="24" customHeight="1">
      <c r="A197" s="2" t="str">
        <f>IF($J197="","",INDEX('Transactions'!$A$1:$A$106,$J197))</f>
      </c>
      <c r="B197" s="26" t="str">
        <f>IF($J197="","",INDEX('Transactions'!$B$1:$B$106,$J197))</f>
      </c>
      <c r="C197" s="2" t="str">
        <f>IF($J197="","",INDEX('Transactions'!$K$1:$K$106,$J197))</f>
      </c>
      <c r="D197" s="2" t="str">
        <f>IF($J197="","",INDEX('Transactions'!$D$1:$D$106,$J197))</f>
      </c>
      <c r="E197" s="2" t="str">
        <f>IF($J197="","",INDEX('Transactions'!$E$1:$E$106,$J197))</f>
      </c>
      <c r="F197" s="2" t="str">
        <f>IF($J197="","",INDEX('Transactions'!$I$1:$I$106,$J197))</f>
      </c>
      <c r="G197" s="2" t="str">
        <f>IF($J197="","",INDEX('Transactions'!$F$1:$F$106,$J197))</f>
      </c>
      <c r="H197" s="2" t="str">
        <f>IF($J197="","",INDEX('Transactions'!$G$1:$G$106,$J197))</f>
      </c>
      <c r="I197" s="2" t="str">
        <f>IF($J197="","",INDEX('Transactions'!$J$1:$J$106,$J197))</f>
      </c>
      <c r="J197" s="2" t="str">
        <f>IF(OR($C$4="",$F$4&gt;$I$4),"",IFERROR(MATCH(191,'Transactions'!$M$7:$M$106,0)+6,""))</f>
      </c>
    </row>
    <row r="198" ht="24" customHeight="1">
      <c r="A198" s="2" t="str">
        <f>IF($J198="","",INDEX('Transactions'!$A$1:$A$106,$J198))</f>
      </c>
      <c r="B198" s="26" t="str">
        <f>IF($J198="","",INDEX('Transactions'!$B$1:$B$106,$J198))</f>
      </c>
      <c r="C198" s="2" t="str">
        <f>IF($J198="","",INDEX('Transactions'!$K$1:$K$106,$J198))</f>
      </c>
      <c r="D198" s="2" t="str">
        <f>IF($J198="","",INDEX('Transactions'!$D$1:$D$106,$J198))</f>
      </c>
      <c r="E198" s="2" t="str">
        <f>IF($J198="","",INDEX('Transactions'!$E$1:$E$106,$J198))</f>
      </c>
      <c r="F198" s="2" t="str">
        <f>IF($J198="","",INDEX('Transactions'!$I$1:$I$106,$J198))</f>
      </c>
      <c r="G198" s="2" t="str">
        <f>IF($J198="","",INDEX('Transactions'!$F$1:$F$106,$J198))</f>
      </c>
      <c r="H198" s="2" t="str">
        <f>IF($J198="","",INDEX('Transactions'!$G$1:$G$106,$J198))</f>
      </c>
      <c r="I198" s="2" t="str">
        <f>IF($J198="","",INDEX('Transactions'!$J$1:$J$106,$J198))</f>
      </c>
      <c r="J198" s="2" t="str">
        <f>IF(OR($C$4="",$F$4&gt;$I$4),"",IFERROR(MATCH(192,'Transactions'!$M$7:$M$106,0)+6,""))</f>
      </c>
    </row>
    <row r="199" ht="24" customHeight="1">
      <c r="A199" s="2" t="str">
        <f>IF($J199="","",INDEX('Transactions'!$A$1:$A$106,$J199))</f>
      </c>
      <c r="B199" s="26" t="str">
        <f>IF($J199="","",INDEX('Transactions'!$B$1:$B$106,$J199))</f>
      </c>
      <c r="C199" s="2" t="str">
        <f>IF($J199="","",INDEX('Transactions'!$K$1:$K$106,$J199))</f>
      </c>
      <c r="D199" s="2" t="str">
        <f>IF($J199="","",INDEX('Transactions'!$D$1:$D$106,$J199))</f>
      </c>
      <c r="E199" s="2" t="str">
        <f>IF($J199="","",INDEX('Transactions'!$E$1:$E$106,$J199))</f>
      </c>
      <c r="F199" s="2" t="str">
        <f>IF($J199="","",INDEX('Transactions'!$I$1:$I$106,$J199))</f>
      </c>
      <c r="G199" s="2" t="str">
        <f>IF($J199="","",INDEX('Transactions'!$F$1:$F$106,$J199))</f>
      </c>
      <c r="H199" s="2" t="str">
        <f>IF($J199="","",INDEX('Transactions'!$G$1:$G$106,$J199))</f>
      </c>
      <c r="I199" s="2" t="str">
        <f>IF($J199="","",INDEX('Transactions'!$J$1:$J$106,$J199))</f>
      </c>
      <c r="J199" s="2" t="str">
        <f>IF(OR($C$4="",$F$4&gt;$I$4),"",IFERROR(MATCH(193,'Transactions'!$M$7:$M$106,0)+6,""))</f>
      </c>
    </row>
    <row r="200" ht="24" customHeight="1">
      <c r="A200" s="2" t="str">
        <f>IF($J200="","",INDEX('Transactions'!$A$1:$A$106,$J200))</f>
      </c>
      <c r="B200" s="26" t="str">
        <f>IF($J200="","",INDEX('Transactions'!$B$1:$B$106,$J200))</f>
      </c>
      <c r="C200" s="2" t="str">
        <f>IF($J200="","",INDEX('Transactions'!$K$1:$K$106,$J200))</f>
      </c>
      <c r="D200" s="2" t="str">
        <f>IF($J200="","",INDEX('Transactions'!$D$1:$D$106,$J200))</f>
      </c>
      <c r="E200" s="2" t="str">
        <f>IF($J200="","",INDEX('Transactions'!$E$1:$E$106,$J200))</f>
      </c>
      <c r="F200" s="2" t="str">
        <f>IF($J200="","",INDEX('Transactions'!$I$1:$I$106,$J200))</f>
      </c>
      <c r="G200" s="2" t="str">
        <f>IF($J200="","",INDEX('Transactions'!$F$1:$F$106,$J200))</f>
      </c>
      <c r="H200" s="2" t="str">
        <f>IF($J200="","",INDEX('Transactions'!$G$1:$G$106,$J200))</f>
      </c>
      <c r="I200" s="2" t="str">
        <f>IF($J200="","",INDEX('Transactions'!$J$1:$J$106,$J200))</f>
      </c>
      <c r="J200" s="2" t="str">
        <f>IF(OR($C$4="",$F$4&gt;$I$4),"",IFERROR(MATCH(194,'Transactions'!$M$7:$M$106,0)+6,""))</f>
      </c>
    </row>
    <row r="201" ht="24" customHeight="1">
      <c r="A201" s="2" t="str">
        <f>IF($J201="","",INDEX('Transactions'!$A$1:$A$106,$J201))</f>
      </c>
      <c r="B201" s="26" t="str">
        <f>IF($J201="","",INDEX('Transactions'!$B$1:$B$106,$J201))</f>
      </c>
      <c r="C201" s="2" t="str">
        <f>IF($J201="","",INDEX('Transactions'!$K$1:$K$106,$J201))</f>
      </c>
      <c r="D201" s="2" t="str">
        <f>IF($J201="","",INDEX('Transactions'!$D$1:$D$106,$J201))</f>
      </c>
      <c r="E201" s="2" t="str">
        <f>IF($J201="","",INDEX('Transactions'!$E$1:$E$106,$J201))</f>
      </c>
      <c r="F201" s="2" t="str">
        <f>IF($J201="","",INDEX('Transactions'!$I$1:$I$106,$J201))</f>
      </c>
      <c r="G201" s="2" t="str">
        <f>IF($J201="","",INDEX('Transactions'!$F$1:$F$106,$J201))</f>
      </c>
      <c r="H201" s="2" t="str">
        <f>IF($J201="","",INDEX('Transactions'!$G$1:$G$106,$J201))</f>
      </c>
      <c r="I201" s="2" t="str">
        <f>IF($J201="","",INDEX('Transactions'!$J$1:$J$106,$J201))</f>
      </c>
      <c r="J201" s="2" t="str">
        <f>IF(OR($C$4="",$F$4&gt;$I$4),"",IFERROR(MATCH(195,'Transactions'!$M$7:$M$106,0)+6,""))</f>
      </c>
    </row>
    <row r="202" ht="24" customHeight="1">
      <c r="A202" s="2" t="str">
        <f>IF($J202="","",INDEX('Transactions'!$A$1:$A$106,$J202))</f>
      </c>
      <c r="B202" s="26" t="str">
        <f>IF($J202="","",INDEX('Transactions'!$B$1:$B$106,$J202))</f>
      </c>
      <c r="C202" s="2" t="str">
        <f>IF($J202="","",INDEX('Transactions'!$K$1:$K$106,$J202))</f>
      </c>
      <c r="D202" s="2" t="str">
        <f>IF($J202="","",INDEX('Transactions'!$D$1:$D$106,$J202))</f>
      </c>
      <c r="E202" s="2" t="str">
        <f>IF($J202="","",INDEX('Transactions'!$E$1:$E$106,$J202))</f>
      </c>
      <c r="F202" s="2" t="str">
        <f>IF($J202="","",INDEX('Transactions'!$I$1:$I$106,$J202))</f>
      </c>
      <c r="G202" s="2" t="str">
        <f>IF($J202="","",INDEX('Transactions'!$F$1:$F$106,$J202))</f>
      </c>
      <c r="H202" s="2" t="str">
        <f>IF($J202="","",INDEX('Transactions'!$G$1:$G$106,$J202))</f>
      </c>
      <c r="I202" s="2" t="str">
        <f>IF($J202="","",INDEX('Transactions'!$J$1:$J$106,$J202))</f>
      </c>
      <c r="J202" s="2" t="str">
        <f>IF(OR($C$4="",$F$4&gt;$I$4),"",IFERROR(MATCH(196,'Transactions'!$M$7:$M$106,0)+6,""))</f>
      </c>
    </row>
    <row r="203" ht="24" customHeight="1">
      <c r="A203" s="2" t="str">
        <f>IF($J203="","",INDEX('Transactions'!$A$1:$A$106,$J203))</f>
      </c>
      <c r="B203" s="26" t="str">
        <f>IF($J203="","",INDEX('Transactions'!$B$1:$B$106,$J203))</f>
      </c>
      <c r="C203" s="2" t="str">
        <f>IF($J203="","",INDEX('Transactions'!$K$1:$K$106,$J203))</f>
      </c>
      <c r="D203" s="2" t="str">
        <f>IF($J203="","",INDEX('Transactions'!$D$1:$D$106,$J203))</f>
      </c>
      <c r="E203" s="2" t="str">
        <f>IF($J203="","",INDEX('Transactions'!$E$1:$E$106,$J203))</f>
      </c>
      <c r="F203" s="2" t="str">
        <f>IF($J203="","",INDEX('Transactions'!$I$1:$I$106,$J203))</f>
      </c>
      <c r="G203" s="2" t="str">
        <f>IF($J203="","",INDEX('Transactions'!$F$1:$F$106,$J203))</f>
      </c>
      <c r="H203" s="2" t="str">
        <f>IF($J203="","",INDEX('Transactions'!$G$1:$G$106,$J203))</f>
      </c>
      <c r="I203" s="2" t="str">
        <f>IF($J203="","",INDEX('Transactions'!$J$1:$J$106,$J203))</f>
      </c>
      <c r="J203" s="2" t="str">
        <f>IF(OR($C$4="",$F$4&gt;$I$4),"",IFERROR(MATCH(197,'Transactions'!$M$7:$M$106,0)+6,""))</f>
      </c>
    </row>
    <row r="204" ht="24" customHeight="1">
      <c r="A204" s="2" t="str">
        <f>IF($J204="","",INDEX('Transactions'!$A$1:$A$106,$J204))</f>
      </c>
      <c r="B204" s="26" t="str">
        <f>IF($J204="","",INDEX('Transactions'!$B$1:$B$106,$J204))</f>
      </c>
      <c r="C204" s="2" t="str">
        <f>IF($J204="","",INDEX('Transactions'!$K$1:$K$106,$J204))</f>
      </c>
      <c r="D204" s="2" t="str">
        <f>IF($J204="","",INDEX('Transactions'!$D$1:$D$106,$J204))</f>
      </c>
      <c r="E204" s="2" t="str">
        <f>IF($J204="","",INDEX('Transactions'!$E$1:$E$106,$J204))</f>
      </c>
      <c r="F204" s="2" t="str">
        <f>IF($J204="","",INDEX('Transactions'!$I$1:$I$106,$J204))</f>
      </c>
      <c r="G204" s="2" t="str">
        <f>IF($J204="","",INDEX('Transactions'!$F$1:$F$106,$J204))</f>
      </c>
      <c r="H204" s="2" t="str">
        <f>IF($J204="","",INDEX('Transactions'!$G$1:$G$106,$J204))</f>
      </c>
      <c r="I204" s="2" t="str">
        <f>IF($J204="","",INDEX('Transactions'!$J$1:$J$106,$J204))</f>
      </c>
      <c r="J204" s="2" t="str">
        <f>IF(OR($C$4="",$F$4&gt;$I$4),"",IFERROR(MATCH(198,'Transactions'!$M$7:$M$106,0)+6,""))</f>
      </c>
    </row>
    <row r="205" ht="24" customHeight="1">
      <c r="A205" s="2" t="str">
        <f>IF($J205="","",INDEX('Transactions'!$A$1:$A$106,$J205))</f>
      </c>
      <c r="B205" s="26" t="str">
        <f>IF($J205="","",INDEX('Transactions'!$B$1:$B$106,$J205))</f>
      </c>
      <c r="C205" s="2" t="str">
        <f>IF($J205="","",INDEX('Transactions'!$K$1:$K$106,$J205))</f>
      </c>
      <c r="D205" s="2" t="str">
        <f>IF($J205="","",INDEX('Transactions'!$D$1:$D$106,$J205))</f>
      </c>
      <c r="E205" s="2" t="str">
        <f>IF($J205="","",INDEX('Transactions'!$E$1:$E$106,$J205))</f>
      </c>
      <c r="F205" s="2" t="str">
        <f>IF($J205="","",INDEX('Transactions'!$I$1:$I$106,$J205))</f>
      </c>
      <c r="G205" s="2" t="str">
        <f>IF($J205="","",INDEX('Transactions'!$F$1:$F$106,$J205))</f>
      </c>
      <c r="H205" s="2" t="str">
        <f>IF($J205="","",INDEX('Transactions'!$G$1:$G$106,$J205))</f>
      </c>
      <c r="I205" s="2" t="str">
        <f>IF($J205="","",INDEX('Transactions'!$J$1:$J$106,$J205))</f>
      </c>
      <c r="J205" s="2" t="str">
        <f>IF(OR($C$4="",$F$4&gt;$I$4),"",IFERROR(MATCH(199,'Transactions'!$M$7:$M$106,0)+6,""))</f>
      </c>
    </row>
    <row r="206" ht="24" customHeight="1">
      <c r="A206" s="2" t="str">
        <f>IF($J206="","",INDEX('Transactions'!$A$1:$A$106,$J206))</f>
      </c>
      <c r="B206" s="26" t="str">
        <f>IF($J206="","",INDEX('Transactions'!$B$1:$B$106,$J206))</f>
      </c>
      <c r="C206" s="2" t="str">
        <f>IF($J206="","",INDEX('Transactions'!$K$1:$K$106,$J206))</f>
      </c>
      <c r="D206" s="2" t="str">
        <f>IF($J206="","",INDEX('Transactions'!$D$1:$D$106,$J206))</f>
      </c>
      <c r="E206" s="2" t="str">
        <f>IF($J206="","",INDEX('Transactions'!$E$1:$E$106,$J206))</f>
      </c>
      <c r="F206" s="2" t="str">
        <f>IF($J206="","",INDEX('Transactions'!$I$1:$I$106,$J206))</f>
      </c>
      <c r="G206" s="2" t="str">
        <f>IF($J206="","",INDEX('Transactions'!$F$1:$F$106,$J206))</f>
      </c>
      <c r="H206" s="2" t="str">
        <f>IF($J206="","",INDEX('Transactions'!$G$1:$G$106,$J206))</f>
      </c>
      <c r="I206" s="2" t="str">
        <f>IF($J206="","",INDEX('Transactions'!$J$1:$J$106,$J206))</f>
      </c>
      <c r="J206" s="2" t="str">
        <f>IF(OR($C$4="",$F$4&gt;$I$4),"",IFERROR(MATCH(200,'Transactions'!$M$7:$M$106,0)+6,""))</f>
      </c>
    </row>
  </sheetData>
  <sheetProtection sheet="1" objects="1" scenarios="1" autoFilter="0" sort="1" formatColumns="0" formatRows="0" selectLockedCells="0" selectUnlockedCells="0"/>
  <mergeCells>
    <mergeCell ref="A3:J3"/>
  </mergeCells>
  <conditionalFormatting sqref="F4:F4">
    <cfRule type="expression" dxfId="112" priority="1">
      <formula>INDIRECT("Start!$F$7")="dd/mm/yyyy"</formula>
    </cfRule>
    <cfRule type="expression" dxfId="113" priority="2">
      <formula>INDIRECT("Start!$F$7")="mm/dd/yyyy"</formula>
    </cfRule>
    <cfRule type="expression" dxfId="114" priority="3">
      <formula>INDIRECT("Start!$F$7")="yyyy-mm-dd"</formula>
    </cfRule>
    <cfRule type="expression" dxfId="115" priority="4">
      <formula>INDIRECT("Start!$F$7")="dd.mm.yyyy"</formula>
    </cfRule>
    <cfRule type="expression" dxfId="116" priority="5">
      <formula>INDIRECT("Start!$F$7")="yyyy/mm/dd"</formula>
    </cfRule>
  </conditionalFormatting>
  <conditionalFormatting sqref="I4:I4">
    <cfRule type="expression" dxfId="117" priority="6">
      <formula>INDIRECT("Start!$F$7")="dd/mm/yyyy"</formula>
    </cfRule>
    <cfRule type="expression" dxfId="118" priority="7">
      <formula>INDIRECT("Start!$F$7")="mm/dd/yyyy"</formula>
    </cfRule>
    <cfRule type="expression" dxfId="119" priority="8">
      <formula>INDIRECT("Start!$F$7")="yyyy-mm-dd"</formula>
    </cfRule>
    <cfRule type="expression" dxfId="120" priority="9">
      <formula>INDIRECT("Start!$F$7")="dd.mm.yyyy"</formula>
    </cfRule>
    <cfRule type="expression" dxfId="121" priority="10">
      <formula>INDIRECT("Start!$F$7")="yyyy/mm/dd"</formula>
    </cfRule>
  </conditionalFormatting>
  <conditionalFormatting sqref="B7:B206">
    <cfRule type="expression" dxfId="122" priority="11">
      <formula>INDIRECT("Start!$F$7")="dd/mm/yyyy"</formula>
    </cfRule>
    <cfRule type="expression" dxfId="123" priority="12">
      <formula>INDIRECT("Start!$F$7")="mm/dd/yyyy"</formula>
    </cfRule>
    <cfRule type="expression" dxfId="124" priority="13">
      <formula>INDIRECT("Start!$F$7")="yyyy-mm-dd"</formula>
    </cfRule>
    <cfRule type="expression" dxfId="125" priority="14">
      <formula>INDIRECT("Start!$F$7")="dd.mm.yyyy"</formula>
    </cfRule>
    <cfRule type="expression" dxfId="126" priority="15">
      <formula>INDIRECT("Start!$F$7")="yyyy/mm/dd"</formula>
    </cfRule>
  </conditionalFormatting>
  <dataValidations count="1">
    <dataValidation type="list" sqref="C4">
      <formula1>INDIRECT("Products!$A$7:$A$16")</formula1>
    </dataValidation>
  </dataValidations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4cd5c00ebfe4469f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4" ySplit="6" topLeftCell="E7" activePane="bottomRight" state="frozen"/>
    </sheetView>
  </sheetViews>
  <sheetFormatPr defaultRowHeight="15"/>
  <cols>
    <col min="1" max="1" width="23" hidden="0" customWidth="1"/>
    <col min="2" max="2" width="17" hidden="0" customWidth="1"/>
    <col min="3" max="3" width="22" hidden="0" customWidth="1"/>
    <col min="4" max="4" width="20" hidden="0" customWidth="1"/>
    <col min="5" max="5" width="18" hidden="0" customWidth="1"/>
    <col min="6" max="6" width="18" hidden="0" customWidth="1"/>
    <col min="7" max="7" width="18" hidden="0" customWidth="1"/>
    <col min="8" max="8" width="30" hidden="0" customWidth="1"/>
    <col min="9" max="9" width="25" hidden="0" customWidth="1"/>
    <col min="10" max="10" width="30" hidden="0" customWidth="1"/>
    <col min="11" max="11" width="17" hidden="0" customWidth="1"/>
    <col min="12" max="12" width="19" hidden="0" customWidth="1"/>
    <col min="13" max="13" width="27" hidden="0" customWidth="1"/>
    <col min="14" max="14" width="25" hidden="0" customWidth="1"/>
    <col min="15" max="15" width="18" hidden="0" customWidth="1"/>
    <col min="16" max="16" width="18" hidden="0" customWidth="1"/>
    <col min="17" max="17" width="18" hidden="0" customWidth="1"/>
    <col min="18" max="18" width="18" hidden="0" customWidth="1"/>
    <col min="19" max="19" width="22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s="2" t="str">
        <v>Reorder</v>
      </c>
      <c r="K1" s="2"/>
      <c r="L1" s="2"/>
      <c r="M1" s="2"/>
      <c r="N1" s="2"/>
      <c r="O1" s="2"/>
      <c r="P1" s="2"/>
      <c r="Q1" s="2"/>
      <c r="R1" s="2"/>
      <c r="S1" s="2"/>
    </row>
    <row r="2" ht="24" customHeight="1">
      <c r="A2" s="3" t="str">
        <v>Stocktake history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8" customHeight="1">
      <c r="A3" s="24" t="str">
        <v>Copy CountPrep A:I as VALUES into unused A:I rows. Record the physical count in F, including zero. Every cycle keeps its own date and snapshot. Review Adjustments before recording any stock change.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42" customHeight="1">
      <c r="A6" s="10" t="str">
        <v>Count line ID</v>
      </c>
      <c r="B6" s="10" t="str">
        <v>Count date</v>
      </c>
      <c r="C6" s="10" t="str">
        <v>Cycle ID</v>
      </c>
      <c r="D6" s="10" t="str">
        <v>SKU</v>
      </c>
      <c r="E6" s="10" t="str">
        <v>Book qty snapshot</v>
      </c>
      <c r="F6" s="10" t="str">
        <v>Counted qty</v>
      </c>
      <c r="G6" s="10" t="str">
        <v>Unit cost snapshot</v>
      </c>
      <c r="H6" s="10" t="str">
        <v>Notes</v>
      </c>
      <c r="I6" s="10" t="str">
        <v>Posted movement ID</v>
      </c>
      <c r="J6" s="10" t="str">
        <v>Product</v>
      </c>
      <c r="K6" s="10" t="str">
        <v>Qty variance</v>
      </c>
      <c r="L6" s="10" t="str">
        <v>Value variance</v>
      </c>
      <c r="M6" s="10" t="str">
        <v>Input status</v>
      </c>
      <c r="N6" s="10" t="str">
        <v>Adjustment status</v>
      </c>
      <c r="O6" s="10" t="str">
        <v>Live book (reference)</v>
      </c>
      <c r="P6" s="10" t="str">
        <v>Live cost (reference)</v>
      </c>
      <c r="Q6" s="10" t="str">
        <v>Adjustment type</v>
      </c>
      <c r="R6" s="10" t="str">
        <v>Adjustment qty</v>
      </c>
      <c r="S6" s="10" t="str">
        <v>Suggested movement ID</v>
      </c>
    </row>
    <row r="7" ht="24" customHeight="1">
      <c r="A7" s="65" t="str">
        <v>EXAMPLE-COUNT-01-SKU000123</v>
      </c>
      <c r="B7" s="63" t="n">
        <v>46313</v>
      </c>
      <c r="C7" s="65" t="str">
        <v>EXAMPLE-COUNT-01</v>
      </c>
      <c r="D7" s="65" t="str">
        <v>SKU000123</v>
      </c>
      <c r="E7" s="62" t="n">
        <v>15</v>
      </c>
      <c r="F7" s="62" t="n">
        <v>13</v>
      </c>
      <c r="G7" s="67" t="n">
        <v>10</v>
      </c>
      <c r="H7" s="62" t="str"/>
      <c r="I7" s="65" t="str">
        <v>COUNT-EXAMPLE-COUNT-01-SKU000123</v>
      </c>
      <c r="J7" s="2" t="str">
        <f>IF(D7="","",IFERROR(INDEX('Products'!$B$7:$B$16,SUMPRODUCT(--('Products'!$A$7:$A$16=D7),ROW('Products'!$A$7:$A$16))-6),"Check SKU"))</f>
        <v>Synthetic spare part</v>
      </c>
      <c r="K7" s="2" t="n">
        <f>IF(M7&lt;&gt;"Ready","",F7-E7)</f>
        <v>-2</v>
      </c>
      <c r="L7" s="27" t="n">
        <f>IF(M7&lt;&gt;"Ready","",K7*G7)</f>
        <v>-20</v>
      </c>
      <c r="M7" s="2" t="str">
        <f>IF(COUNTA(A7:I7)=0,"",IF(OR(A7="",C7="",D7="",COUNT(B7,E7:G7)&lt;&gt;4),"Missing inputs",IF(OR(SUMPRODUCT(--('Stocktake'!$A$7:$A$26=A7))&lt;&gt;1,SUMPRODUCT(--('Stocktake'!$C$7:$C$26=C7),--('Stocktake'!$D$7:$D$26=D7))&lt;&gt;1),"Duplicate count / cycle SKU",IF(SUMPRODUCT(--('Products'!$A$7:$A$16=D7),--('Products'!$P$7:$P$16="Ready"))&lt;&gt;1,"Check SKU",IF(OR(B7&lt;1,B7&gt;Start!$F$5,MOD(B7,1)&lt;&gt;0,NOT(AND(ISNUMBER(Start!$F$5),Start!$F$5&gt;=1,Start!$F$5&lt;=73415,MOD(Start!$F$5,1)=0))),"Check count date",IF(OR(MIN(E7:G7)&lt;0,MAX(E7:G7)&gt;1000000000,MOD(E7,1)&lt;&gt;0,MOD(F7,1)&lt;&gt;0),"Check quantity / cost","Ready"))))))</f>
        <v>Ready</v>
      </c>
      <c r="N7" s="2" t="str">
        <f>IF(A7="","",IF(M7&lt;&gt;"Ready","Check inputs",IF(K7=0,"No adjustment",IF(I7="","Post adjustment",IF(SUMPRODUCT(--('Stocktake'!$I$7:$I$26=I7))&lt;&gt;1,"Movement reused",IF(SUMPRODUCT(--('Transactions'!$A$7:$A$106=I7),--('Transactions'!$K$7:$K$106=D7),--('Transactions'!$D$7:$D$106=Q7),--('Transactions'!$E$7:$E$106=R7),--('Transactions'!$F$7:$F$106=C7),--('Transactions'!$H$7:$H$106="Ready"),--('Transactions'!$B$7:$B$106&gt;=B7),--('Transactions'!$B$7:$B$106&lt;=Start!$F$5))=1,"Recorded","Check posted movement"))))))</f>
        <v>Recorded</v>
      </c>
      <c r="O7" s="2" t="n">
        <f>IF(D7="","",IFERROR(INDEX('Inventory'!$G$7:$G$16,SUMPRODUCT(--('Products'!$A$7:$A$16=D7),ROW('Products'!$A$7:$A$16))-6),""))</f>
        <v>13</v>
      </c>
      <c r="P7" s="27" t="n">
        <f>IF(D7="","",IFERROR(INDEX('Products'!$F$7:$F$16,SUMPRODUCT(--('Products'!$A$7:$A$16=D7),ROW('Products'!$A$7:$A$16))-6),""))</f>
        <v>10</v>
      </c>
      <c r="Q7" s="2" t="str">
        <f>IF(OR(M7&lt;&gt;"Ready",K7=0),"",IF(K7&gt;0,"ADJUST+","ADJUST-"))</f>
        <v>ADJUST-</v>
      </c>
      <c r="R7" s="2" t="n">
        <f>IF(OR(M7&lt;&gt;"Ready",K7=0),"",ABS(K7))</f>
        <v>2</v>
      </c>
      <c r="S7" s="2" t="str">
        <f>IF(OR(M7&lt;&gt;"Ready",K7=0),"","COUNT-"&amp;A7)</f>
        <v>COUNT-EXAMPLE-COUNT-01-SKU000123</v>
      </c>
    </row>
    <row r="8" ht="24" customHeight="1">
      <c r="A8" s="65" t="str">
        <v>SECOND-COUNT</v>
      </c>
      <c r="B8" s="63" t="d">
        <v>2026-10-18T00:00:00.000Z</v>
      </c>
      <c r="C8" s="65" t="str">
        <v>SECOND-CYCLE</v>
      </c>
      <c r="D8" s="65" t="str">
        <v>SKU000123</v>
      </c>
      <c r="E8" s="62" t="n">
        <v>13</v>
      </c>
      <c r="F8" s="62" t="n">
        <v>13</v>
      </c>
      <c r="G8" s="67" t="n">
        <v>10</v>
      </c>
      <c r="H8" s="62" t="str">
        <v>Synthetic second cycle</v>
      </c>
      <c r="I8" s="65" t="str"/>
      <c r="J8" s="2" t="str">
        <f>IF(D8="","",IFERROR(INDEX('Products'!$B$7:$B$16,SUMPRODUCT(--('Products'!$A$7:$A$16=D8),ROW('Products'!$A$7:$A$16))-6),"Check SKU"))</f>
        <v>Synthetic spare part</v>
      </c>
      <c r="K8" s="2" t="n">
        <f>IF(M8&lt;&gt;"Ready","",F8-E8)</f>
        <v>0</v>
      </c>
      <c r="L8" s="27" t="n">
        <f>IF(M8&lt;&gt;"Ready","",K8*G8)</f>
        <v>0</v>
      </c>
      <c r="M8" s="2" t="str">
        <f>IF(COUNTA(A8:I8)=0,"",IF(OR(A8="",C8="",D8="",COUNT(B8,E8:G8)&lt;&gt;4),"Missing inputs",IF(OR(SUMPRODUCT(--('Stocktake'!$A$7:$A$26=A8))&lt;&gt;1,SUMPRODUCT(--('Stocktake'!$C$7:$C$26=C8),--('Stocktake'!$D$7:$D$26=D8))&lt;&gt;1),"Duplicate count / cycle SKU",IF(SUMPRODUCT(--('Products'!$A$7:$A$16=D8),--('Products'!$P$7:$P$16="Ready"))&lt;&gt;1,"Check SKU",IF(OR(B8&lt;1,B8&gt;Start!$F$5,MOD(B8,1)&lt;&gt;0,NOT(AND(ISNUMBER(Start!$F$5),Start!$F$5&gt;=1,Start!$F$5&lt;=73415,MOD(Start!$F$5,1)=0))),"Check count date",IF(OR(MIN(E8:G8)&lt;0,MAX(E8:G8)&gt;1000000000,MOD(E8,1)&lt;&gt;0,MOD(F8,1)&lt;&gt;0),"Check quantity / cost","Ready"))))))</f>
        <v>Ready</v>
      </c>
      <c r="N8" s="2" t="str">
        <f>IF(A8="","",IF(M8&lt;&gt;"Ready","Check inputs",IF(K8=0,"No adjustment",IF(I8="","Post adjustment",IF(SUMPRODUCT(--('Stocktake'!$I$7:$I$26=I8))&lt;&gt;1,"Movement reused",IF(SUMPRODUCT(--('Transactions'!$A$7:$A$106=I8),--('Transactions'!$K$7:$K$106=D8),--('Transactions'!$D$7:$D$106=Q8),--('Transactions'!$E$7:$E$106=R8),--('Transactions'!$F$7:$F$106=C8),--('Transactions'!$H$7:$H$106="Ready"),--('Transactions'!$B$7:$B$106&gt;=B8),--('Transactions'!$B$7:$B$106&lt;=Start!$F$5))=1,"Recorded","Check posted movement"))))))</f>
        <v>No adjustment</v>
      </c>
      <c r="O8" s="2" t="n">
        <f>IF(D8="","",IFERROR(INDEX('Inventory'!$G$7:$G$16,SUMPRODUCT(--('Products'!$A$7:$A$16=D8),ROW('Products'!$A$7:$A$16))-6),""))</f>
        <v>13</v>
      </c>
      <c r="P8" s="27" t="n">
        <f>IF(D8="","",IFERROR(INDEX('Products'!$F$7:$F$16,SUMPRODUCT(--('Products'!$A$7:$A$16=D8),ROW('Products'!$A$7:$A$16))-6),""))</f>
        <v>10</v>
      </c>
      <c r="Q8" s="2" t="str">
        <f>IF(OR(M8&lt;&gt;"Ready",K8=0),"",IF(K8&gt;0,"ADJUST+","ADJUST-"))</f>
      </c>
      <c r="R8" s="2" t="str">
        <f>IF(OR(M8&lt;&gt;"Ready",K8=0),"",ABS(K8))</f>
      </c>
      <c r="S8" s="2" t="str">
        <f>IF(OR(M8&lt;&gt;"Ready",K8=0),"","COUNT-"&amp;A8)</f>
      </c>
    </row>
    <row r="9" ht="24" customHeight="1">
      <c r="A9" s="65"/>
      <c r="B9" s="63"/>
      <c r="C9" s="65"/>
      <c r="D9" s="65"/>
      <c r="E9" s="62"/>
      <c r="F9" s="62"/>
      <c r="G9" s="67"/>
      <c r="H9" s="62"/>
      <c r="I9" s="65"/>
      <c r="J9" s="2" t="str">
        <f>IF(D9="","",IFERROR(INDEX('Products'!$B$7:$B$16,SUMPRODUCT(--('Products'!$A$7:$A$16=D9),ROW('Products'!$A$7:$A$16))-6),"Check SKU"))</f>
      </c>
      <c r="K9" s="2" t="str">
        <f>IF(M9&lt;&gt;"Ready","",F9-E9)</f>
      </c>
      <c r="L9" s="27" t="str">
        <f>IF(M9&lt;&gt;"Ready","",K9*G9)</f>
      </c>
      <c r="M9" s="2" t="str">
        <f>IF(COUNTA(A9:I9)=0,"",IF(OR(A9="",C9="",D9="",COUNT(B9,E9:G9)&lt;&gt;4),"Missing inputs",IF(OR(SUMPRODUCT(--('Stocktake'!$A$7:$A$26=A9))&lt;&gt;1,SUMPRODUCT(--('Stocktake'!$C$7:$C$26=C9),--('Stocktake'!$D$7:$D$26=D9))&lt;&gt;1),"Duplicate count / cycle SKU",IF(SUMPRODUCT(--('Products'!$A$7:$A$16=D9),--('Products'!$P$7:$P$16="Ready"))&lt;&gt;1,"Check SKU",IF(OR(B9&lt;1,B9&gt;Start!$F$5,MOD(B9,1)&lt;&gt;0,NOT(AND(ISNUMBER(Start!$F$5),Start!$F$5&gt;=1,Start!$F$5&lt;=73415,MOD(Start!$F$5,1)=0))),"Check count date",IF(OR(MIN(E9:G9)&lt;0,MAX(E9:G9)&gt;1000000000,MOD(E9,1)&lt;&gt;0,MOD(F9,1)&lt;&gt;0),"Check quantity / cost","Ready"))))))</f>
      </c>
      <c r="N9" s="2" t="str">
        <f>IF(A9="","",IF(M9&lt;&gt;"Ready","Check inputs",IF(K9=0,"No adjustment",IF(I9="","Post adjustment",IF(SUMPRODUCT(--('Stocktake'!$I$7:$I$26=I9))&lt;&gt;1,"Movement reused",IF(SUMPRODUCT(--('Transactions'!$A$7:$A$106=I9),--('Transactions'!$K$7:$K$106=D9),--('Transactions'!$D$7:$D$106=Q9),--('Transactions'!$E$7:$E$106=R9),--('Transactions'!$F$7:$F$106=C9),--('Transactions'!$H$7:$H$106="Ready"),--('Transactions'!$B$7:$B$106&gt;=B9),--('Transactions'!$B$7:$B$106&lt;=Start!$F$5))=1,"Recorded","Check posted movement"))))))</f>
      </c>
      <c r="O9" s="2" t="str">
        <f>IF(D9="","",IFERROR(INDEX('Inventory'!$G$7:$G$16,SUMPRODUCT(--('Products'!$A$7:$A$16=D9),ROW('Products'!$A$7:$A$16))-6),""))</f>
      </c>
      <c r="P9" s="27" t="str">
        <f>IF(D9="","",IFERROR(INDEX('Products'!$F$7:$F$16,SUMPRODUCT(--('Products'!$A$7:$A$16=D9),ROW('Products'!$A$7:$A$16))-6),""))</f>
      </c>
      <c r="Q9" s="2" t="str">
        <f>IF(OR(M9&lt;&gt;"Ready",K9=0),"",IF(K9&gt;0,"ADJUST+","ADJUST-"))</f>
      </c>
      <c r="R9" s="2" t="str">
        <f>IF(OR(M9&lt;&gt;"Ready",K9=0),"",ABS(K9))</f>
      </c>
      <c r="S9" s="2" t="str">
        <f>IF(OR(M9&lt;&gt;"Ready",K9=0),"","COUNT-"&amp;A9)</f>
      </c>
    </row>
    <row r="10" ht="24" customHeight="1">
      <c r="A10" s="65"/>
      <c r="B10" s="63"/>
      <c r="C10" s="65"/>
      <c r="D10" s="65"/>
      <c r="E10" s="62"/>
      <c r="F10" s="62"/>
      <c r="G10" s="67"/>
      <c r="H10" s="62"/>
      <c r="I10" s="65"/>
      <c r="J10" s="2" t="str">
        <f>IF(D10="","",IFERROR(INDEX('Products'!$B$7:$B$16,SUMPRODUCT(--('Products'!$A$7:$A$16=D10),ROW('Products'!$A$7:$A$16))-6),"Check SKU"))</f>
      </c>
      <c r="K10" s="2" t="str">
        <f>IF(M10&lt;&gt;"Ready","",F10-E10)</f>
      </c>
      <c r="L10" s="27" t="str">
        <f>IF(M10&lt;&gt;"Ready","",K10*G10)</f>
      </c>
      <c r="M10" s="2" t="str">
        <f>IF(COUNTA(A10:I10)=0,"",IF(OR(A10="",C10="",D10="",COUNT(B10,E10:G10)&lt;&gt;4),"Missing inputs",IF(OR(SUMPRODUCT(--('Stocktake'!$A$7:$A$26=A10))&lt;&gt;1,SUMPRODUCT(--('Stocktake'!$C$7:$C$26=C10),--('Stocktake'!$D$7:$D$26=D10))&lt;&gt;1),"Duplicate count / cycle SKU",IF(SUMPRODUCT(--('Products'!$A$7:$A$16=D10),--('Products'!$P$7:$P$16="Ready"))&lt;&gt;1,"Check SKU",IF(OR(B10&lt;1,B10&gt;Start!$F$5,MOD(B10,1)&lt;&gt;0,NOT(AND(ISNUMBER(Start!$F$5),Start!$F$5&gt;=1,Start!$F$5&lt;=73415,MOD(Start!$F$5,1)=0))),"Check count date",IF(OR(MIN(E10:G10)&lt;0,MAX(E10:G10)&gt;1000000000,MOD(E10,1)&lt;&gt;0,MOD(F10,1)&lt;&gt;0),"Check quantity / cost","Ready"))))))</f>
      </c>
      <c r="N10" s="2" t="str">
        <f>IF(A10="","",IF(M10&lt;&gt;"Ready","Check inputs",IF(K10=0,"No adjustment",IF(I10="","Post adjustment",IF(SUMPRODUCT(--('Stocktake'!$I$7:$I$26=I10))&lt;&gt;1,"Movement reused",IF(SUMPRODUCT(--('Transactions'!$A$7:$A$106=I10),--('Transactions'!$K$7:$K$106=D10),--('Transactions'!$D$7:$D$106=Q10),--('Transactions'!$E$7:$E$106=R10),--('Transactions'!$F$7:$F$106=C10),--('Transactions'!$H$7:$H$106="Ready"),--('Transactions'!$B$7:$B$106&gt;=B10),--('Transactions'!$B$7:$B$106&lt;=Start!$F$5))=1,"Recorded","Check posted movement"))))))</f>
      </c>
      <c r="O10" s="2" t="str">
        <f>IF(D10="","",IFERROR(INDEX('Inventory'!$G$7:$G$16,SUMPRODUCT(--('Products'!$A$7:$A$16=D10),ROW('Products'!$A$7:$A$16))-6),""))</f>
      </c>
      <c r="P10" s="27" t="str">
        <f>IF(D10="","",IFERROR(INDEX('Products'!$F$7:$F$16,SUMPRODUCT(--('Products'!$A$7:$A$16=D10),ROW('Products'!$A$7:$A$16))-6),""))</f>
      </c>
      <c r="Q10" s="2" t="str">
        <f>IF(OR(M10&lt;&gt;"Ready",K10=0),"",IF(K10&gt;0,"ADJUST+","ADJUST-"))</f>
      </c>
      <c r="R10" s="2" t="str">
        <f>IF(OR(M10&lt;&gt;"Ready",K10=0),"",ABS(K10))</f>
      </c>
      <c r="S10" s="2" t="str">
        <f>IF(OR(M10&lt;&gt;"Ready",K10=0),"","COUNT-"&amp;A10)</f>
      </c>
    </row>
    <row r="11" ht="24" customHeight="1">
      <c r="A11" s="65"/>
      <c r="B11" s="63"/>
      <c r="C11" s="65"/>
      <c r="D11" s="65"/>
      <c r="E11" s="62"/>
      <c r="F11" s="62"/>
      <c r="G11" s="67"/>
      <c r="H11" s="62"/>
      <c r="I11" s="65"/>
      <c r="J11" s="2" t="str">
        <f>IF(D11="","",IFERROR(INDEX('Products'!$B$7:$B$16,SUMPRODUCT(--('Products'!$A$7:$A$16=D11),ROW('Products'!$A$7:$A$16))-6),"Check SKU"))</f>
      </c>
      <c r="K11" s="2" t="str">
        <f>IF(M11&lt;&gt;"Ready","",F11-E11)</f>
      </c>
      <c r="L11" s="27" t="str">
        <f>IF(M11&lt;&gt;"Ready","",K11*G11)</f>
      </c>
      <c r="M11" s="2" t="str">
        <f>IF(COUNTA(A11:I11)=0,"",IF(OR(A11="",C11="",D11="",COUNT(B11,E11:G11)&lt;&gt;4),"Missing inputs",IF(OR(SUMPRODUCT(--('Stocktake'!$A$7:$A$26=A11))&lt;&gt;1,SUMPRODUCT(--('Stocktake'!$C$7:$C$26=C11),--('Stocktake'!$D$7:$D$26=D11))&lt;&gt;1),"Duplicate count / cycle SKU",IF(SUMPRODUCT(--('Products'!$A$7:$A$16=D11),--('Products'!$P$7:$P$16="Ready"))&lt;&gt;1,"Check SKU",IF(OR(B11&lt;1,B11&gt;Start!$F$5,MOD(B11,1)&lt;&gt;0,NOT(AND(ISNUMBER(Start!$F$5),Start!$F$5&gt;=1,Start!$F$5&lt;=73415,MOD(Start!$F$5,1)=0))),"Check count date",IF(OR(MIN(E11:G11)&lt;0,MAX(E11:G11)&gt;1000000000,MOD(E11,1)&lt;&gt;0,MOD(F11,1)&lt;&gt;0),"Check quantity / cost","Ready"))))))</f>
      </c>
      <c r="N11" s="2" t="str">
        <f>IF(A11="","",IF(M11&lt;&gt;"Ready","Check inputs",IF(K11=0,"No adjustment",IF(I11="","Post adjustment",IF(SUMPRODUCT(--('Stocktake'!$I$7:$I$26=I11))&lt;&gt;1,"Movement reused",IF(SUMPRODUCT(--('Transactions'!$A$7:$A$106=I11),--('Transactions'!$K$7:$K$106=D11),--('Transactions'!$D$7:$D$106=Q11),--('Transactions'!$E$7:$E$106=R11),--('Transactions'!$F$7:$F$106=C11),--('Transactions'!$H$7:$H$106="Ready"),--('Transactions'!$B$7:$B$106&gt;=B11),--('Transactions'!$B$7:$B$106&lt;=Start!$F$5))=1,"Recorded","Check posted movement"))))))</f>
      </c>
      <c r="O11" s="2" t="str">
        <f>IF(D11="","",IFERROR(INDEX('Inventory'!$G$7:$G$16,SUMPRODUCT(--('Products'!$A$7:$A$16=D11),ROW('Products'!$A$7:$A$16))-6),""))</f>
      </c>
      <c r="P11" s="27" t="str">
        <f>IF(D11="","",IFERROR(INDEX('Products'!$F$7:$F$16,SUMPRODUCT(--('Products'!$A$7:$A$16=D11),ROW('Products'!$A$7:$A$16))-6),""))</f>
      </c>
      <c r="Q11" s="2" t="str">
        <f>IF(OR(M11&lt;&gt;"Ready",K11=0),"",IF(K11&gt;0,"ADJUST+","ADJUST-"))</f>
      </c>
      <c r="R11" s="2" t="str">
        <f>IF(OR(M11&lt;&gt;"Ready",K11=0),"",ABS(K11))</f>
      </c>
      <c r="S11" s="2" t="str">
        <f>IF(OR(M11&lt;&gt;"Ready",K11=0),"","COUNT-"&amp;A11)</f>
      </c>
    </row>
    <row r="12" ht="24" customHeight="1">
      <c r="A12" s="65"/>
      <c r="B12" s="63"/>
      <c r="C12" s="65"/>
      <c r="D12" s="65"/>
      <c r="E12" s="62"/>
      <c r="F12" s="62"/>
      <c r="G12" s="67"/>
      <c r="H12" s="62"/>
      <c r="I12" s="65"/>
      <c r="J12" s="2" t="str">
        <f>IF(D12="","",IFERROR(INDEX('Products'!$B$7:$B$16,SUMPRODUCT(--('Products'!$A$7:$A$16=D12),ROW('Products'!$A$7:$A$16))-6),"Check SKU"))</f>
      </c>
      <c r="K12" s="2" t="str">
        <f>IF(M12&lt;&gt;"Ready","",F12-E12)</f>
      </c>
      <c r="L12" s="27" t="str">
        <f>IF(M12&lt;&gt;"Ready","",K12*G12)</f>
      </c>
      <c r="M12" s="2" t="str">
        <f>IF(COUNTA(A12:I12)=0,"",IF(OR(A12="",C12="",D12="",COUNT(B12,E12:G12)&lt;&gt;4),"Missing inputs",IF(OR(SUMPRODUCT(--('Stocktake'!$A$7:$A$26=A12))&lt;&gt;1,SUMPRODUCT(--('Stocktake'!$C$7:$C$26=C12),--('Stocktake'!$D$7:$D$26=D12))&lt;&gt;1),"Duplicate count / cycle SKU",IF(SUMPRODUCT(--('Products'!$A$7:$A$16=D12),--('Products'!$P$7:$P$16="Ready"))&lt;&gt;1,"Check SKU",IF(OR(B12&lt;1,B12&gt;Start!$F$5,MOD(B12,1)&lt;&gt;0,NOT(AND(ISNUMBER(Start!$F$5),Start!$F$5&gt;=1,Start!$F$5&lt;=73415,MOD(Start!$F$5,1)=0))),"Check count date",IF(OR(MIN(E12:G12)&lt;0,MAX(E12:G12)&gt;1000000000,MOD(E12,1)&lt;&gt;0,MOD(F12,1)&lt;&gt;0),"Check quantity / cost","Ready"))))))</f>
      </c>
      <c r="N12" s="2" t="str">
        <f>IF(A12="","",IF(M12&lt;&gt;"Ready","Check inputs",IF(K12=0,"No adjustment",IF(I12="","Post adjustment",IF(SUMPRODUCT(--('Stocktake'!$I$7:$I$26=I12))&lt;&gt;1,"Movement reused",IF(SUMPRODUCT(--('Transactions'!$A$7:$A$106=I12),--('Transactions'!$K$7:$K$106=D12),--('Transactions'!$D$7:$D$106=Q12),--('Transactions'!$E$7:$E$106=R12),--('Transactions'!$F$7:$F$106=C12),--('Transactions'!$H$7:$H$106="Ready"),--('Transactions'!$B$7:$B$106&gt;=B12),--('Transactions'!$B$7:$B$106&lt;=Start!$F$5))=1,"Recorded","Check posted movement"))))))</f>
      </c>
      <c r="O12" s="2" t="str">
        <f>IF(D12="","",IFERROR(INDEX('Inventory'!$G$7:$G$16,SUMPRODUCT(--('Products'!$A$7:$A$16=D12),ROW('Products'!$A$7:$A$16))-6),""))</f>
      </c>
      <c r="P12" s="27" t="str">
        <f>IF(D12="","",IFERROR(INDEX('Products'!$F$7:$F$16,SUMPRODUCT(--('Products'!$A$7:$A$16=D12),ROW('Products'!$A$7:$A$16))-6),""))</f>
      </c>
      <c r="Q12" s="2" t="str">
        <f>IF(OR(M12&lt;&gt;"Ready",K12=0),"",IF(K12&gt;0,"ADJUST+","ADJUST-"))</f>
      </c>
      <c r="R12" s="2" t="str">
        <f>IF(OR(M12&lt;&gt;"Ready",K12=0),"",ABS(K12))</f>
      </c>
      <c r="S12" s="2" t="str">
        <f>IF(OR(M12&lt;&gt;"Ready",K12=0),"","COUNT-"&amp;A12)</f>
      </c>
    </row>
    <row r="13" ht="24" customHeight="1">
      <c r="A13" s="65"/>
      <c r="B13" s="63"/>
      <c r="C13" s="65"/>
      <c r="D13" s="65"/>
      <c r="E13" s="62"/>
      <c r="F13" s="62"/>
      <c r="G13" s="67"/>
      <c r="H13" s="62"/>
      <c r="I13" s="65"/>
      <c r="J13" s="2" t="str">
        <f>IF(D13="","",IFERROR(INDEX('Products'!$B$7:$B$16,SUMPRODUCT(--('Products'!$A$7:$A$16=D13),ROW('Products'!$A$7:$A$16))-6),"Check SKU"))</f>
      </c>
      <c r="K13" s="2" t="str">
        <f>IF(M13&lt;&gt;"Ready","",F13-E13)</f>
      </c>
      <c r="L13" s="27" t="str">
        <f>IF(M13&lt;&gt;"Ready","",K13*G13)</f>
      </c>
      <c r="M13" s="2" t="str">
        <f>IF(COUNTA(A13:I13)=0,"",IF(OR(A13="",C13="",D13="",COUNT(B13,E13:G13)&lt;&gt;4),"Missing inputs",IF(OR(SUMPRODUCT(--('Stocktake'!$A$7:$A$26=A13))&lt;&gt;1,SUMPRODUCT(--('Stocktake'!$C$7:$C$26=C13),--('Stocktake'!$D$7:$D$26=D13))&lt;&gt;1),"Duplicate count / cycle SKU",IF(SUMPRODUCT(--('Products'!$A$7:$A$16=D13),--('Products'!$P$7:$P$16="Ready"))&lt;&gt;1,"Check SKU",IF(OR(B13&lt;1,B13&gt;Start!$F$5,MOD(B13,1)&lt;&gt;0,NOT(AND(ISNUMBER(Start!$F$5),Start!$F$5&gt;=1,Start!$F$5&lt;=73415,MOD(Start!$F$5,1)=0))),"Check count date",IF(OR(MIN(E13:G13)&lt;0,MAX(E13:G13)&gt;1000000000,MOD(E13,1)&lt;&gt;0,MOD(F13,1)&lt;&gt;0),"Check quantity / cost","Ready"))))))</f>
      </c>
      <c r="N13" s="2" t="str">
        <f>IF(A13="","",IF(M13&lt;&gt;"Ready","Check inputs",IF(K13=0,"No adjustment",IF(I13="","Post adjustment",IF(SUMPRODUCT(--('Stocktake'!$I$7:$I$26=I13))&lt;&gt;1,"Movement reused",IF(SUMPRODUCT(--('Transactions'!$A$7:$A$106=I13),--('Transactions'!$K$7:$K$106=D13),--('Transactions'!$D$7:$D$106=Q13),--('Transactions'!$E$7:$E$106=R13),--('Transactions'!$F$7:$F$106=C13),--('Transactions'!$H$7:$H$106="Ready"),--('Transactions'!$B$7:$B$106&gt;=B13),--('Transactions'!$B$7:$B$106&lt;=Start!$F$5))=1,"Recorded","Check posted movement"))))))</f>
      </c>
      <c r="O13" s="2" t="str">
        <f>IF(D13="","",IFERROR(INDEX('Inventory'!$G$7:$G$16,SUMPRODUCT(--('Products'!$A$7:$A$16=D13),ROW('Products'!$A$7:$A$16))-6),""))</f>
      </c>
      <c r="P13" s="27" t="str">
        <f>IF(D13="","",IFERROR(INDEX('Products'!$F$7:$F$16,SUMPRODUCT(--('Products'!$A$7:$A$16=D13),ROW('Products'!$A$7:$A$16))-6),""))</f>
      </c>
      <c r="Q13" s="2" t="str">
        <f>IF(OR(M13&lt;&gt;"Ready",K13=0),"",IF(K13&gt;0,"ADJUST+","ADJUST-"))</f>
      </c>
      <c r="R13" s="2" t="str">
        <f>IF(OR(M13&lt;&gt;"Ready",K13=0),"",ABS(K13))</f>
      </c>
      <c r="S13" s="2" t="str">
        <f>IF(OR(M13&lt;&gt;"Ready",K13=0),"","COUNT-"&amp;A13)</f>
      </c>
    </row>
    <row r="14" ht="24" customHeight="1">
      <c r="A14" s="65"/>
      <c r="B14" s="63"/>
      <c r="C14" s="65"/>
      <c r="D14" s="65"/>
      <c r="E14" s="62"/>
      <c r="F14" s="62"/>
      <c r="G14" s="67"/>
      <c r="H14" s="62"/>
      <c r="I14" s="65"/>
      <c r="J14" s="2" t="str">
        <f>IF(D14="","",IFERROR(INDEX('Products'!$B$7:$B$16,SUMPRODUCT(--('Products'!$A$7:$A$16=D14),ROW('Products'!$A$7:$A$16))-6),"Check SKU"))</f>
      </c>
      <c r="K14" s="2" t="str">
        <f>IF(M14&lt;&gt;"Ready","",F14-E14)</f>
      </c>
      <c r="L14" s="27" t="str">
        <f>IF(M14&lt;&gt;"Ready","",K14*G14)</f>
      </c>
      <c r="M14" s="2" t="str">
        <f>IF(COUNTA(A14:I14)=0,"",IF(OR(A14="",C14="",D14="",COUNT(B14,E14:G14)&lt;&gt;4),"Missing inputs",IF(OR(SUMPRODUCT(--('Stocktake'!$A$7:$A$26=A14))&lt;&gt;1,SUMPRODUCT(--('Stocktake'!$C$7:$C$26=C14),--('Stocktake'!$D$7:$D$26=D14))&lt;&gt;1),"Duplicate count / cycle SKU",IF(SUMPRODUCT(--('Products'!$A$7:$A$16=D14),--('Products'!$P$7:$P$16="Ready"))&lt;&gt;1,"Check SKU",IF(OR(B14&lt;1,B14&gt;Start!$F$5,MOD(B14,1)&lt;&gt;0,NOT(AND(ISNUMBER(Start!$F$5),Start!$F$5&gt;=1,Start!$F$5&lt;=73415,MOD(Start!$F$5,1)=0))),"Check count date",IF(OR(MIN(E14:G14)&lt;0,MAX(E14:G14)&gt;1000000000,MOD(E14,1)&lt;&gt;0,MOD(F14,1)&lt;&gt;0),"Check quantity / cost","Ready"))))))</f>
      </c>
      <c r="N14" s="2" t="str">
        <f>IF(A14="","",IF(M14&lt;&gt;"Ready","Check inputs",IF(K14=0,"No adjustment",IF(I14="","Post adjustment",IF(SUMPRODUCT(--('Stocktake'!$I$7:$I$26=I14))&lt;&gt;1,"Movement reused",IF(SUMPRODUCT(--('Transactions'!$A$7:$A$106=I14),--('Transactions'!$K$7:$K$106=D14),--('Transactions'!$D$7:$D$106=Q14),--('Transactions'!$E$7:$E$106=R14),--('Transactions'!$F$7:$F$106=C14),--('Transactions'!$H$7:$H$106="Ready"),--('Transactions'!$B$7:$B$106&gt;=B14),--('Transactions'!$B$7:$B$106&lt;=Start!$F$5))=1,"Recorded","Check posted movement"))))))</f>
      </c>
      <c r="O14" s="2" t="str">
        <f>IF(D14="","",IFERROR(INDEX('Inventory'!$G$7:$G$16,SUMPRODUCT(--('Products'!$A$7:$A$16=D14),ROW('Products'!$A$7:$A$16))-6),""))</f>
      </c>
      <c r="P14" s="27" t="str">
        <f>IF(D14="","",IFERROR(INDEX('Products'!$F$7:$F$16,SUMPRODUCT(--('Products'!$A$7:$A$16=D14),ROW('Products'!$A$7:$A$16))-6),""))</f>
      </c>
      <c r="Q14" s="2" t="str">
        <f>IF(OR(M14&lt;&gt;"Ready",K14=0),"",IF(K14&gt;0,"ADJUST+","ADJUST-"))</f>
      </c>
      <c r="R14" s="2" t="str">
        <f>IF(OR(M14&lt;&gt;"Ready",K14=0),"",ABS(K14))</f>
      </c>
      <c r="S14" s="2" t="str">
        <f>IF(OR(M14&lt;&gt;"Ready",K14=0),"","COUNT-"&amp;A14)</f>
      </c>
    </row>
    <row r="15" ht="24" customHeight="1">
      <c r="A15" s="65"/>
      <c r="B15" s="63"/>
      <c r="C15" s="65"/>
      <c r="D15" s="65"/>
      <c r="E15" s="62"/>
      <c r="F15" s="62"/>
      <c r="G15" s="67"/>
      <c r="H15" s="62"/>
      <c r="I15" s="65"/>
      <c r="J15" s="2" t="str">
        <f>IF(D15="","",IFERROR(INDEX('Products'!$B$7:$B$16,SUMPRODUCT(--('Products'!$A$7:$A$16=D15),ROW('Products'!$A$7:$A$16))-6),"Check SKU"))</f>
      </c>
      <c r="K15" s="2" t="str">
        <f>IF(M15&lt;&gt;"Ready","",F15-E15)</f>
      </c>
      <c r="L15" s="27" t="str">
        <f>IF(M15&lt;&gt;"Ready","",K15*G15)</f>
      </c>
      <c r="M15" s="2" t="str">
        <f>IF(COUNTA(A15:I15)=0,"",IF(OR(A15="",C15="",D15="",COUNT(B15,E15:G15)&lt;&gt;4),"Missing inputs",IF(OR(SUMPRODUCT(--('Stocktake'!$A$7:$A$26=A15))&lt;&gt;1,SUMPRODUCT(--('Stocktake'!$C$7:$C$26=C15),--('Stocktake'!$D$7:$D$26=D15))&lt;&gt;1),"Duplicate count / cycle SKU",IF(SUMPRODUCT(--('Products'!$A$7:$A$16=D15),--('Products'!$P$7:$P$16="Ready"))&lt;&gt;1,"Check SKU",IF(OR(B15&lt;1,B15&gt;Start!$F$5,MOD(B15,1)&lt;&gt;0,NOT(AND(ISNUMBER(Start!$F$5),Start!$F$5&gt;=1,Start!$F$5&lt;=73415,MOD(Start!$F$5,1)=0))),"Check count date",IF(OR(MIN(E15:G15)&lt;0,MAX(E15:G15)&gt;1000000000,MOD(E15,1)&lt;&gt;0,MOD(F15,1)&lt;&gt;0),"Check quantity / cost","Ready"))))))</f>
      </c>
      <c r="N15" s="2" t="str">
        <f>IF(A15="","",IF(M15&lt;&gt;"Ready","Check inputs",IF(K15=0,"No adjustment",IF(I15="","Post adjustment",IF(SUMPRODUCT(--('Stocktake'!$I$7:$I$26=I15))&lt;&gt;1,"Movement reused",IF(SUMPRODUCT(--('Transactions'!$A$7:$A$106=I15),--('Transactions'!$K$7:$K$106=D15),--('Transactions'!$D$7:$D$106=Q15),--('Transactions'!$E$7:$E$106=R15),--('Transactions'!$F$7:$F$106=C15),--('Transactions'!$H$7:$H$106="Ready"),--('Transactions'!$B$7:$B$106&gt;=B15),--('Transactions'!$B$7:$B$106&lt;=Start!$F$5))=1,"Recorded","Check posted movement"))))))</f>
      </c>
      <c r="O15" s="2" t="str">
        <f>IF(D15="","",IFERROR(INDEX('Inventory'!$G$7:$G$16,SUMPRODUCT(--('Products'!$A$7:$A$16=D15),ROW('Products'!$A$7:$A$16))-6),""))</f>
      </c>
      <c r="P15" s="27" t="str">
        <f>IF(D15="","",IFERROR(INDEX('Products'!$F$7:$F$16,SUMPRODUCT(--('Products'!$A$7:$A$16=D15),ROW('Products'!$A$7:$A$16))-6),""))</f>
      </c>
      <c r="Q15" s="2" t="str">
        <f>IF(OR(M15&lt;&gt;"Ready",K15=0),"",IF(K15&gt;0,"ADJUST+","ADJUST-"))</f>
      </c>
      <c r="R15" s="2" t="str">
        <f>IF(OR(M15&lt;&gt;"Ready",K15=0),"",ABS(K15))</f>
      </c>
      <c r="S15" s="2" t="str">
        <f>IF(OR(M15&lt;&gt;"Ready",K15=0),"","COUNT-"&amp;A15)</f>
      </c>
    </row>
    <row r="16" ht="24" customHeight="1">
      <c r="A16" s="65"/>
      <c r="B16" s="63"/>
      <c r="C16" s="65"/>
      <c r="D16" s="65"/>
      <c r="E16" s="62"/>
      <c r="F16" s="62"/>
      <c r="G16" s="67"/>
      <c r="H16" s="62"/>
      <c r="I16" s="65"/>
      <c r="J16" s="2" t="str">
        <f>IF(D16="","",IFERROR(INDEX('Products'!$B$7:$B$16,SUMPRODUCT(--('Products'!$A$7:$A$16=D16),ROW('Products'!$A$7:$A$16))-6),"Check SKU"))</f>
      </c>
      <c r="K16" s="2" t="str">
        <f>IF(M16&lt;&gt;"Ready","",F16-E16)</f>
      </c>
      <c r="L16" s="27" t="str">
        <f>IF(M16&lt;&gt;"Ready","",K16*G16)</f>
      </c>
      <c r="M16" s="2" t="str">
        <f>IF(COUNTA(A16:I16)=0,"",IF(OR(A16="",C16="",D16="",COUNT(B16,E16:G16)&lt;&gt;4),"Missing inputs",IF(OR(SUMPRODUCT(--('Stocktake'!$A$7:$A$26=A16))&lt;&gt;1,SUMPRODUCT(--('Stocktake'!$C$7:$C$26=C16),--('Stocktake'!$D$7:$D$26=D16))&lt;&gt;1),"Duplicate count / cycle SKU",IF(SUMPRODUCT(--('Products'!$A$7:$A$16=D16),--('Products'!$P$7:$P$16="Ready"))&lt;&gt;1,"Check SKU",IF(OR(B16&lt;1,B16&gt;Start!$F$5,MOD(B16,1)&lt;&gt;0,NOT(AND(ISNUMBER(Start!$F$5),Start!$F$5&gt;=1,Start!$F$5&lt;=73415,MOD(Start!$F$5,1)=0))),"Check count date",IF(OR(MIN(E16:G16)&lt;0,MAX(E16:G16)&gt;1000000000,MOD(E16,1)&lt;&gt;0,MOD(F16,1)&lt;&gt;0),"Check quantity / cost","Ready"))))))</f>
      </c>
      <c r="N16" s="2" t="str">
        <f>IF(A16="","",IF(M16&lt;&gt;"Ready","Check inputs",IF(K16=0,"No adjustment",IF(I16="","Post adjustment",IF(SUMPRODUCT(--('Stocktake'!$I$7:$I$26=I16))&lt;&gt;1,"Movement reused",IF(SUMPRODUCT(--('Transactions'!$A$7:$A$106=I16),--('Transactions'!$K$7:$K$106=D16),--('Transactions'!$D$7:$D$106=Q16),--('Transactions'!$E$7:$E$106=R16),--('Transactions'!$F$7:$F$106=C16),--('Transactions'!$H$7:$H$106="Ready"),--('Transactions'!$B$7:$B$106&gt;=B16),--('Transactions'!$B$7:$B$106&lt;=Start!$F$5))=1,"Recorded","Check posted movement"))))))</f>
      </c>
      <c r="O16" s="2" t="str">
        <f>IF(D16="","",IFERROR(INDEX('Inventory'!$G$7:$G$16,SUMPRODUCT(--('Products'!$A$7:$A$16=D16),ROW('Products'!$A$7:$A$16))-6),""))</f>
      </c>
      <c r="P16" s="27" t="str">
        <f>IF(D16="","",IFERROR(INDEX('Products'!$F$7:$F$16,SUMPRODUCT(--('Products'!$A$7:$A$16=D16),ROW('Products'!$A$7:$A$16))-6),""))</f>
      </c>
      <c r="Q16" s="2" t="str">
        <f>IF(OR(M16&lt;&gt;"Ready",K16=0),"",IF(K16&gt;0,"ADJUST+","ADJUST-"))</f>
      </c>
      <c r="R16" s="2" t="str">
        <f>IF(OR(M16&lt;&gt;"Ready",K16=0),"",ABS(K16))</f>
      </c>
      <c r="S16" s="2" t="str">
        <f>IF(OR(M16&lt;&gt;"Ready",K16=0),"","COUNT-"&amp;A16)</f>
      </c>
    </row>
    <row r="17" ht="24" customHeight="1">
      <c r="A17" s="65"/>
      <c r="B17" s="63"/>
      <c r="C17" s="65"/>
      <c r="D17" s="65"/>
      <c r="E17" s="62"/>
      <c r="F17" s="62"/>
      <c r="G17" s="67"/>
      <c r="H17" s="62"/>
      <c r="I17" s="65"/>
      <c r="J17" s="2" t="str">
        <f>IF(D17="","",IFERROR(INDEX('Products'!$B$7:$B$16,SUMPRODUCT(--('Products'!$A$7:$A$16=D17),ROW('Products'!$A$7:$A$16))-6),"Check SKU"))</f>
      </c>
      <c r="K17" s="2" t="str">
        <f>IF(M17&lt;&gt;"Ready","",F17-E17)</f>
      </c>
      <c r="L17" s="27" t="str">
        <f>IF(M17&lt;&gt;"Ready","",K17*G17)</f>
      </c>
      <c r="M17" s="2" t="str">
        <f>IF(COUNTA(A17:I17)=0,"",IF(OR(A17="",C17="",D17="",COUNT(B17,E17:G17)&lt;&gt;4),"Missing inputs",IF(OR(SUMPRODUCT(--('Stocktake'!$A$7:$A$26=A17))&lt;&gt;1,SUMPRODUCT(--('Stocktake'!$C$7:$C$26=C17),--('Stocktake'!$D$7:$D$26=D17))&lt;&gt;1),"Duplicate count / cycle SKU",IF(SUMPRODUCT(--('Products'!$A$7:$A$16=D17),--('Products'!$P$7:$P$16="Ready"))&lt;&gt;1,"Check SKU",IF(OR(B17&lt;1,B17&gt;Start!$F$5,MOD(B17,1)&lt;&gt;0,NOT(AND(ISNUMBER(Start!$F$5),Start!$F$5&gt;=1,Start!$F$5&lt;=73415,MOD(Start!$F$5,1)=0))),"Check count date",IF(OR(MIN(E17:G17)&lt;0,MAX(E17:G17)&gt;1000000000,MOD(E17,1)&lt;&gt;0,MOD(F17,1)&lt;&gt;0),"Check quantity / cost","Ready"))))))</f>
      </c>
      <c r="N17" s="2" t="str">
        <f>IF(A17="","",IF(M17&lt;&gt;"Ready","Check inputs",IF(K17=0,"No adjustment",IF(I17="","Post adjustment",IF(SUMPRODUCT(--('Stocktake'!$I$7:$I$26=I17))&lt;&gt;1,"Movement reused",IF(SUMPRODUCT(--('Transactions'!$A$7:$A$106=I17),--('Transactions'!$K$7:$K$106=D17),--('Transactions'!$D$7:$D$106=Q17),--('Transactions'!$E$7:$E$106=R17),--('Transactions'!$F$7:$F$106=C17),--('Transactions'!$H$7:$H$106="Ready"),--('Transactions'!$B$7:$B$106&gt;=B17),--('Transactions'!$B$7:$B$106&lt;=Start!$F$5))=1,"Recorded","Check posted movement"))))))</f>
      </c>
      <c r="O17" s="2" t="str">
        <f>IF(D17="","",IFERROR(INDEX('Inventory'!$G$7:$G$16,SUMPRODUCT(--('Products'!$A$7:$A$16=D17),ROW('Products'!$A$7:$A$16))-6),""))</f>
      </c>
      <c r="P17" s="27" t="str">
        <f>IF(D17="","",IFERROR(INDEX('Products'!$F$7:$F$16,SUMPRODUCT(--('Products'!$A$7:$A$16=D17),ROW('Products'!$A$7:$A$16))-6),""))</f>
      </c>
      <c r="Q17" s="2" t="str">
        <f>IF(OR(M17&lt;&gt;"Ready",K17=0),"",IF(K17&gt;0,"ADJUST+","ADJUST-"))</f>
      </c>
      <c r="R17" s="2" t="str">
        <f>IF(OR(M17&lt;&gt;"Ready",K17=0),"",ABS(K17))</f>
      </c>
      <c r="S17" s="2" t="str">
        <f>IF(OR(M17&lt;&gt;"Ready",K17=0),"","COUNT-"&amp;A17)</f>
      </c>
    </row>
    <row r="18" ht="24" customHeight="1">
      <c r="A18" s="65"/>
      <c r="B18" s="63"/>
      <c r="C18" s="65"/>
      <c r="D18" s="65"/>
      <c r="E18" s="62"/>
      <c r="F18" s="62"/>
      <c r="G18" s="67"/>
      <c r="H18" s="62"/>
      <c r="I18" s="65"/>
      <c r="J18" s="2" t="str">
        <f>IF(D18="","",IFERROR(INDEX('Products'!$B$7:$B$16,SUMPRODUCT(--('Products'!$A$7:$A$16=D18),ROW('Products'!$A$7:$A$16))-6),"Check SKU"))</f>
      </c>
      <c r="K18" s="2" t="str">
        <f>IF(M18&lt;&gt;"Ready","",F18-E18)</f>
      </c>
      <c r="L18" s="27" t="str">
        <f>IF(M18&lt;&gt;"Ready","",K18*G18)</f>
      </c>
      <c r="M18" s="2" t="str">
        <f>IF(COUNTA(A18:I18)=0,"",IF(OR(A18="",C18="",D18="",COUNT(B18,E18:G18)&lt;&gt;4),"Missing inputs",IF(OR(SUMPRODUCT(--('Stocktake'!$A$7:$A$26=A18))&lt;&gt;1,SUMPRODUCT(--('Stocktake'!$C$7:$C$26=C18),--('Stocktake'!$D$7:$D$26=D18))&lt;&gt;1),"Duplicate count / cycle SKU",IF(SUMPRODUCT(--('Products'!$A$7:$A$16=D18),--('Products'!$P$7:$P$16="Ready"))&lt;&gt;1,"Check SKU",IF(OR(B18&lt;1,B18&gt;Start!$F$5,MOD(B18,1)&lt;&gt;0,NOT(AND(ISNUMBER(Start!$F$5),Start!$F$5&gt;=1,Start!$F$5&lt;=73415,MOD(Start!$F$5,1)=0))),"Check count date",IF(OR(MIN(E18:G18)&lt;0,MAX(E18:G18)&gt;1000000000,MOD(E18,1)&lt;&gt;0,MOD(F18,1)&lt;&gt;0),"Check quantity / cost","Ready"))))))</f>
      </c>
      <c r="N18" s="2" t="str">
        <f>IF(A18="","",IF(M18&lt;&gt;"Ready","Check inputs",IF(K18=0,"No adjustment",IF(I18="","Post adjustment",IF(SUMPRODUCT(--('Stocktake'!$I$7:$I$26=I18))&lt;&gt;1,"Movement reused",IF(SUMPRODUCT(--('Transactions'!$A$7:$A$106=I18),--('Transactions'!$K$7:$K$106=D18),--('Transactions'!$D$7:$D$106=Q18),--('Transactions'!$E$7:$E$106=R18),--('Transactions'!$F$7:$F$106=C18),--('Transactions'!$H$7:$H$106="Ready"),--('Transactions'!$B$7:$B$106&gt;=B18),--('Transactions'!$B$7:$B$106&lt;=Start!$F$5))=1,"Recorded","Check posted movement"))))))</f>
      </c>
      <c r="O18" s="2" t="str">
        <f>IF(D18="","",IFERROR(INDEX('Inventory'!$G$7:$G$16,SUMPRODUCT(--('Products'!$A$7:$A$16=D18),ROW('Products'!$A$7:$A$16))-6),""))</f>
      </c>
      <c r="P18" s="27" t="str">
        <f>IF(D18="","",IFERROR(INDEX('Products'!$F$7:$F$16,SUMPRODUCT(--('Products'!$A$7:$A$16=D18),ROW('Products'!$A$7:$A$16))-6),""))</f>
      </c>
      <c r="Q18" s="2" t="str">
        <f>IF(OR(M18&lt;&gt;"Ready",K18=0),"",IF(K18&gt;0,"ADJUST+","ADJUST-"))</f>
      </c>
      <c r="R18" s="2" t="str">
        <f>IF(OR(M18&lt;&gt;"Ready",K18=0),"",ABS(K18))</f>
      </c>
      <c r="S18" s="2" t="str">
        <f>IF(OR(M18&lt;&gt;"Ready",K18=0),"","COUNT-"&amp;A18)</f>
      </c>
    </row>
    <row r="19" ht="24" customHeight="1">
      <c r="A19" s="65"/>
      <c r="B19" s="63"/>
      <c r="C19" s="65"/>
      <c r="D19" s="65"/>
      <c r="E19" s="62"/>
      <c r="F19" s="62"/>
      <c r="G19" s="67"/>
      <c r="H19" s="62"/>
      <c r="I19" s="65"/>
      <c r="J19" s="2" t="str">
        <f>IF(D19="","",IFERROR(INDEX('Products'!$B$7:$B$16,SUMPRODUCT(--('Products'!$A$7:$A$16=D19),ROW('Products'!$A$7:$A$16))-6),"Check SKU"))</f>
      </c>
      <c r="K19" s="2" t="str">
        <f>IF(M19&lt;&gt;"Ready","",F19-E19)</f>
      </c>
      <c r="L19" s="27" t="str">
        <f>IF(M19&lt;&gt;"Ready","",K19*G19)</f>
      </c>
      <c r="M19" s="2" t="str">
        <f>IF(COUNTA(A19:I19)=0,"",IF(OR(A19="",C19="",D19="",COUNT(B19,E19:G19)&lt;&gt;4),"Missing inputs",IF(OR(SUMPRODUCT(--('Stocktake'!$A$7:$A$26=A19))&lt;&gt;1,SUMPRODUCT(--('Stocktake'!$C$7:$C$26=C19),--('Stocktake'!$D$7:$D$26=D19))&lt;&gt;1),"Duplicate count / cycle SKU",IF(SUMPRODUCT(--('Products'!$A$7:$A$16=D19),--('Products'!$P$7:$P$16="Ready"))&lt;&gt;1,"Check SKU",IF(OR(B19&lt;1,B19&gt;Start!$F$5,MOD(B19,1)&lt;&gt;0,NOT(AND(ISNUMBER(Start!$F$5),Start!$F$5&gt;=1,Start!$F$5&lt;=73415,MOD(Start!$F$5,1)=0))),"Check count date",IF(OR(MIN(E19:G19)&lt;0,MAX(E19:G19)&gt;1000000000,MOD(E19,1)&lt;&gt;0,MOD(F19,1)&lt;&gt;0),"Check quantity / cost","Ready"))))))</f>
      </c>
      <c r="N19" s="2" t="str">
        <f>IF(A19="","",IF(M19&lt;&gt;"Ready","Check inputs",IF(K19=0,"No adjustment",IF(I19="","Post adjustment",IF(SUMPRODUCT(--('Stocktake'!$I$7:$I$26=I19))&lt;&gt;1,"Movement reused",IF(SUMPRODUCT(--('Transactions'!$A$7:$A$106=I19),--('Transactions'!$K$7:$K$106=D19),--('Transactions'!$D$7:$D$106=Q19),--('Transactions'!$E$7:$E$106=R19),--('Transactions'!$F$7:$F$106=C19),--('Transactions'!$H$7:$H$106="Ready"),--('Transactions'!$B$7:$B$106&gt;=B19),--('Transactions'!$B$7:$B$106&lt;=Start!$F$5))=1,"Recorded","Check posted movement"))))))</f>
      </c>
      <c r="O19" s="2" t="str">
        <f>IF(D19="","",IFERROR(INDEX('Inventory'!$G$7:$G$16,SUMPRODUCT(--('Products'!$A$7:$A$16=D19),ROW('Products'!$A$7:$A$16))-6),""))</f>
      </c>
      <c r="P19" s="27" t="str">
        <f>IF(D19="","",IFERROR(INDEX('Products'!$F$7:$F$16,SUMPRODUCT(--('Products'!$A$7:$A$16=D19),ROW('Products'!$A$7:$A$16))-6),""))</f>
      </c>
      <c r="Q19" s="2" t="str">
        <f>IF(OR(M19&lt;&gt;"Ready",K19=0),"",IF(K19&gt;0,"ADJUST+","ADJUST-"))</f>
      </c>
      <c r="R19" s="2" t="str">
        <f>IF(OR(M19&lt;&gt;"Ready",K19=0),"",ABS(K19))</f>
      </c>
      <c r="S19" s="2" t="str">
        <f>IF(OR(M19&lt;&gt;"Ready",K19=0),"","COUNT-"&amp;A19)</f>
      </c>
    </row>
    <row r="20" ht="24" customHeight="1">
      <c r="A20" s="65"/>
      <c r="B20" s="63"/>
      <c r="C20" s="65"/>
      <c r="D20" s="65"/>
      <c r="E20" s="62"/>
      <c r="F20" s="62"/>
      <c r="G20" s="67"/>
      <c r="H20" s="62"/>
      <c r="I20" s="65"/>
      <c r="J20" s="2" t="str">
        <f>IF(D20="","",IFERROR(INDEX('Products'!$B$7:$B$16,SUMPRODUCT(--('Products'!$A$7:$A$16=D20),ROW('Products'!$A$7:$A$16))-6),"Check SKU"))</f>
      </c>
      <c r="K20" s="2" t="str">
        <f>IF(M20&lt;&gt;"Ready","",F20-E20)</f>
      </c>
      <c r="L20" s="27" t="str">
        <f>IF(M20&lt;&gt;"Ready","",K20*G20)</f>
      </c>
      <c r="M20" s="2" t="str">
        <f>IF(COUNTA(A20:I20)=0,"",IF(OR(A20="",C20="",D20="",COUNT(B20,E20:G20)&lt;&gt;4),"Missing inputs",IF(OR(SUMPRODUCT(--('Stocktake'!$A$7:$A$26=A20))&lt;&gt;1,SUMPRODUCT(--('Stocktake'!$C$7:$C$26=C20),--('Stocktake'!$D$7:$D$26=D20))&lt;&gt;1),"Duplicate count / cycle SKU",IF(SUMPRODUCT(--('Products'!$A$7:$A$16=D20),--('Products'!$P$7:$P$16="Ready"))&lt;&gt;1,"Check SKU",IF(OR(B20&lt;1,B20&gt;Start!$F$5,MOD(B20,1)&lt;&gt;0,NOT(AND(ISNUMBER(Start!$F$5),Start!$F$5&gt;=1,Start!$F$5&lt;=73415,MOD(Start!$F$5,1)=0))),"Check count date",IF(OR(MIN(E20:G20)&lt;0,MAX(E20:G20)&gt;1000000000,MOD(E20,1)&lt;&gt;0,MOD(F20,1)&lt;&gt;0),"Check quantity / cost","Ready"))))))</f>
      </c>
      <c r="N20" s="2" t="str">
        <f>IF(A20="","",IF(M20&lt;&gt;"Ready","Check inputs",IF(K20=0,"No adjustment",IF(I20="","Post adjustment",IF(SUMPRODUCT(--('Stocktake'!$I$7:$I$26=I20))&lt;&gt;1,"Movement reused",IF(SUMPRODUCT(--('Transactions'!$A$7:$A$106=I20),--('Transactions'!$K$7:$K$106=D20),--('Transactions'!$D$7:$D$106=Q20),--('Transactions'!$E$7:$E$106=R20),--('Transactions'!$F$7:$F$106=C20),--('Transactions'!$H$7:$H$106="Ready"),--('Transactions'!$B$7:$B$106&gt;=B20),--('Transactions'!$B$7:$B$106&lt;=Start!$F$5))=1,"Recorded","Check posted movement"))))))</f>
      </c>
      <c r="O20" s="2" t="str">
        <f>IF(D20="","",IFERROR(INDEX('Inventory'!$G$7:$G$16,SUMPRODUCT(--('Products'!$A$7:$A$16=D20),ROW('Products'!$A$7:$A$16))-6),""))</f>
      </c>
      <c r="P20" s="27" t="str">
        <f>IF(D20="","",IFERROR(INDEX('Products'!$F$7:$F$16,SUMPRODUCT(--('Products'!$A$7:$A$16=D20),ROW('Products'!$A$7:$A$16))-6),""))</f>
      </c>
      <c r="Q20" s="2" t="str">
        <f>IF(OR(M20&lt;&gt;"Ready",K20=0),"",IF(K20&gt;0,"ADJUST+","ADJUST-"))</f>
      </c>
      <c r="R20" s="2" t="str">
        <f>IF(OR(M20&lt;&gt;"Ready",K20=0),"",ABS(K20))</f>
      </c>
      <c r="S20" s="2" t="str">
        <f>IF(OR(M20&lt;&gt;"Ready",K20=0),"","COUNT-"&amp;A20)</f>
      </c>
    </row>
    <row r="21" ht="24" customHeight="1">
      <c r="A21" s="65"/>
      <c r="B21" s="63"/>
      <c r="C21" s="65"/>
      <c r="D21" s="65"/>
      <c r="E21" s="62"/>
      <c r="F21" s="62"/>
      <c r="G21" s="67"/>
      <c r="H21" s="62"/>
      <c r="I21" s="65"/>
      <c r="J21" s="2" t="str">
        <f>IF(D21="","",IFERROR(INDEX('Products'!$B$7:$B$16,SUMPRODUCT(--('Products'!$A$7:$A$16=D21),ROW('Products'!$A$7:$A$16))-6),"Check SKU"))</f>
      </c>
      <c r="K21" s="2" t="str">
        <f>IF(M21&lt;&gt;"Ready","",F21-E21)</f>
      </c>
      <c r="L21" s="27" t="str">
        <f>IF(M21&lt;&gt;"Ready","",K21*G21)</f>
      </c>
      <c r="M21" s="2" t="str">
        <f>IF(COUNTA(A21:I21)=0,"",IF(OR(A21="",C21="",D21="",COUNT(B21,E21:G21)&lt;&gt;4),"Missing inputs",IF(OR(SUMPRODUCT(--('Stocktake'!$A$7:$A$26=A21))&lt;&gt;1,SUMPRODUCT(--('Stocktake'!$C$7:$C$26=C21),--('Stocktake'!$D$7:$D$26=D21))&lt;&gt;1),"Duplicate count / cycle SKU",IF(SUMPRODUCT(--('Products'!$A$7:$A$16=D21),--('Products'!$P$7:$P$16="Ready"))&lt;&gt;1,"Check SKU",IF(OR(B21&lt;1,B21&gt;Start!$F$5,MOD(B21,1)&lt;&gt;0,NOT(AND(ISNUMBER(Start!$F$5),Start!$F$5&gt;=1,Start!$F$5&lt;=73415,MOD(Start!$F$5,1)=0))),"Check count date",IF(OR(MIN(E21:G21)&lt;0,MAX(E21:G21)&gt;1000000000,MOD(E21,1)&lt;&gt;0,MOD(F21,1)&lt;&gt;0),"Check quantity / cost","Ready"))))))</f>
      </c>
      <c r="N21" s="2" t="str">
        <f>IF(A21="","",IF(M21&lt;&gt;"Ready","Check inputs",IF(K21=0,"No adjustment",IF(I21="","Post adjustment",IF(SUMPRODUCT(--('Stocktake'!$I$7:$I$26=I21))&lt;&gt;1,"Movement reused",IF(SUMPRODUCT(--('Transactions'!$A$7:$A$106=I21),--('Transactions'!$K$7:$K$106=D21),--('Transactions'!$D$7:$D$106=Q21),--('Transactions'!$E$7:$E$106=R21),--('Transactions'!$F$7:$F$106=C21),--('Transactions'!$H$7:$H$106="Ready"),--('Transactions'!$B$7:$B$106&gt;=B21),--('Transactions'!$B$7:$B$106&lt;=Start!$F$5))=1,"Recorded","Check posted movement"))))))</f>
      </c>
      <c r="O21" s="2" t="str">
        <f>IF(D21="","",IFERROR(INDEX('Inventory'!$G$7:$G$16,SUMPRODUCT(--('Products'!$A$7:$A$16=D21),ROW('Products'!$A$7:$A$16))-6),""))</f>
      </c>
      <c r="P21" s="27" t="str">
        <f>IF(D21="","",IFERROR(INDEX('Products'!$F$7:$F$16,SUMPRODUCT(--('Products'!$A$7:$A$16=D21),ROW('Products'!$A$7:$A$16))-6),""))</f>
      </c>
      <c r="Q21" s="2" t="str">
        <f>IF(OR(M21&lt;&gt;"Ready",K21=0),"",IF(K21&gt;0,"ADJUST+","ADJUST-"))</f>
      </c>
      <c r="R21" s="2" t="str">
        <f>IF(OR(M21&lt;&gt;"Ready",K21=0),"",ABS(K21))</f>
      </c>
      <c r="S21" s="2" t="str">
        <f>IF(OR(M21&lt;&gt;"Ready",K21=0),"","COUNT-"&amp;A21)</f>
      </c>
    </row>
    <row r="22" ht="24" customHeight="1">
      <c r="A22" s="65"/>
      <c r="B22" s="63"/>
      <c r="C22" s="65"/>
      <c r="D22" s="65"/>
      <c r="E22" s="62"/>
      <c r="F22" s="62"/>
      <c r="G22" s="67"/>
      <c r="H22" s="62"/>
      <c r="I22" s="65"/>
      <c r="J22" s="2" t="str">
        <f>IF(D22="","",IFERROR(INDEX('Products'!$B$7:$B$16,SUMPRODUCT(--('Products'!$A$7:$A$16=D22),ROW('Products'!$A$7:$A$16))-6),"Check SKU"))</f>
      </c>
      <c r="K22" s="2" t="str">
        <f>IF(M22&lt;&gt;"Ready","",F22-E22)</f>
      </c>
      <c r="L22" s="27" t="str">
        <f>IF(M22&lt;&gt;"Ready","",K22*G22)</f>
      </c>
      <c r="M22" s="2" t="str">
        <f>IF(COUNTA(A22:I22)=0,"",IF(OR(A22="",C22="",D22="",COUNT(B22,E22:G22)&lt;&gt;4),"Missing inputs",IF(OR(SUMPRODUCT(--('Stocktake'!$A$7:$A$26=A22))&lt;&gt;1,SUMPRODUCT(--('Stocktake'!$C$7:$C$26=C22),--('Stocktake'!$D$7:$D$26=D22))&lt;&gt;1),"Duplicate count / cycle SKU",IF(SUMPRODUCT(--('Products'!$A$7:$A$16=D22),--('Products'!$P$7:$P$16="Ready"))&lt;&gt;1,"Check SKU",IF(OR(B22&lt;1,B22&gt;Start!$F$5,MOD(B22,1)&lt;&gt;0,NOT(AND(ISNUMBER(Start!$F$5),Start!$F$5&gt;=1,Start!$F$5&lt;=73415,MOD(Start!$F$5,1)=0))),"Check count date",IF(OR(MIN(E22:G22)&lt;0,MAX(E22:G22)&gt;1000000000,MOD(E22,1)&lt;&gt;0,MOD(F22,1)&lt;&gt;0),"Check quantity / cost","Ready"))))))</f>
      </c>
      <c r="N22" s="2" t="str">
        <f>IF(A22="","",IF(M22&lt;&gt;"Ready","Check inputs",IF(K22=0,"No adjustment",IF(I22="","Post adjustment",IF(SUMPRODUCT(--('Stocktake'!$I$7:$I$26=I22))&lt;&gt;1,"Movement reused",IF(SUMPRODUCT(--('Transactions'!$A$7:$A$106=I22),--('Transactions'!$K$7:$K$106=D22),--('Transactions'!$D$7:$D$106=Q22),--('Transactions'!$E$7:$E$106=R22),--('Transactions'!$F$7:$F$106=C22),--('Transactions'!$H$7:$H$106="Ready"),--('Transactions'!$B$7:$B$106&gt;=B22),--('Transactions'!$B$7:$B$106&lt;=Start!$F$5))=1,"Recorded","Check posted movement"))))))</f>
      </c>
      <c r="O22" s="2" t="str">
        <f>IF(D22="","",IFERROR(INDEX('Inventory'!$G$7:$G$16,SUMPRODUCT(--('Products'!$A$7:$A$16=D22),ROW('Products'!$A$7:$A$16))-6),""))</f>
      </c>
      <c r="P22" s="27" t="str">
        <f>IF(D22="","",IFERROR(INDEX('Products'!$F$7:$F$16,SUMPRODUCT(--('Products'!$A$7:$A$16=D22),ROW('Products'!$A$7:$A$16))-6),""))</f>
      </c>
      <c r="Q22" s="2" t="str">
        <f>IF(OR(M22&lt;&gt;"Ready",K22=0),"",IF(K22&gt;0,"ADJUST+","ADJUST-"))</f>
      </c>
      <c r="R22" s="2" t="str">
        <f>IF(OR(M22&lt;&gt;"Ready",K22=0),"",ABS(K22))</f>
      </c>
      <c r="S22" s="2" t="str">
        <f>IF(OR(M22&lt;&gt;"Ready",K22=0),"","COUNT-"&amp;A22)</f>
      </c>
    </row>
    <row r="23" ht="24" customHeight="1">
      <c r="A23" s="65"/>
      <c r="B23" s="63"/>
      <c r="C23" s="65"/>
      <c r="D23" s="65"/>
      <c r="E23" s="62"/>
      <c r="F23" s="62"/>
      <c r="G23" s="67"/>
      <c r="H23" s="62"/>
      <c r="I23" s="65"/>
      <c r="J23" s="2" t="str">
        <f>IF(D23="","",IFERROR(INDEX('Products'!$B$7:$B$16,SUMPRODUCT(--('Products'!$A$7:$A$16=D23),ROW('Products'!$A$7:$A$16))-6),"Check SKU"))</f>
      </c>
      <c r="K23" s="2" t="str">
        <f>IF(M23&lt;&gt;"Ready","",F23-E23)</f>
      </c>
      <c r="L23" s="27" t="str">
        <f>IF(M23&lt;&gt;"Ready","",K23*G23)</f>
      </c>
      <c r="M23" s="2" t="str">
        <f>IF(COUNTA(A23:I23)=0,"",IF(OR(A23="",C23="",D23="",COUNT(B23,E23:G23)&lt;&gt;4),"Missing inputs",IF(OR(SUMPRODUCT(--('Stocktake'!$A$7:$A$26=A23))&lt;&gt;1,SUMPRODUCT(--('Stocktake'!$C$7:$C$26=C23),--('Stocktake'!$D$7:$D$26=D23))&lt;&gt;1),"Duplicate count / cycle SKU",IF(SUMPRODUCT(--('Products'!$A$7:$A$16=D23),--('Products'!$P$7:$P$16="Ready"))&lt;&gt;1,"Check SKU",IF(OR(B23&lt;1,B23&gt;Start!$F$5,MOD(B23,1)&lt;&gt;0,NOT(AND(ISNUMBER(Start!$F$5),Start!$F$5&gt;=1,Start!$F$5&lt;=73415,MOD(Start!$F$5,1)=0))),"Check count date",IF(OR(MIN(E23:G23)&lt;0,MAX(E23:G23)&gt;1000000000,MOD(E23,1)&lt;&gt;0,MOD(F23,1)&lt;&gt;0),"Check quantity / cost","Ready"))))))</f>
      </c>
      <c r="N23" s="2" t="str">
        <f>IF(A23="","",IF(M23&lt;&gt;"Ready","Check inputs",IF(K23=0,"No adjustment",IF(I23="","Post adjustment",IF(SUMPRODUCT(--('Stocktake'!$I$7:$I$26=I23))&lt;&gt;1,"Movement reused",IF(SUMPRODUCT(--('Transactions'!$A$7:$A$106=I23),--('Transactions'!$K$7:$K$106=D23),--('Transactions'!$D$7:$D$106=Q23),--('Transactions'!$E$7:$E$106=R23),--('Transactions'!$F$7:$F$106=C23),--('Transactions'!$H$7:$H$106="Ready"),--('Transactions'!$B$7:$B$106&gt;=B23),--('Transactions'!$B$7:$B$106&lt;=Start!$F$5))=1,"Recorded","Check posted movement"))))))</f>
      </c>
      <c r="O23" s="2" t="str">
        <f>IF(D23="","",IFERROR(INDEX('Inventory'!$G$7:$G$16,SUMPRODUCT(--('Products'!$A$7:$A$16=D23),ROW('Products'!$A$7:$A$16))-6),""))</f>
      </c>
      <c r="P23" s="27" t="str">
        <f>IF(D23="","",IFERROR(INDEX('Products'!$F$7:$F$16,SUMPRODUCT(--('Products'!$A$7:$A$16=D23),ROW('Products'!$A$7:$A$16))-6),""))</f>
      </c>
      <c r="Q23" s="2" t="str">
        <f>IF(OR(M23&lt;&gt;"Ready",K23=0),"",IF(K23&gt;0,"ADJUST+","ADJUST-"))</f>
      </c>
      <c r="R23" s="2" t="str">
        <f>IF(OR(M23&lt;&gt;"Ready",K23=0),"",ABS(K23))</f>
      </c>
      <c r="S23" s="2" t="str">
        <f>IF(OR(M23&lt;&gt;"Ready",K23=0),"","COUNT-"&amp;A23)</f>
      </c>
    </row>
    <row r="24" ht="24" customHeight="1">
      <c r="A24" s="65"/>
      <c r="B24" s="63"/>
      <c r="C24" s="65"/>
      <c r="D24" s="65"/>
      <c r="E24" s="62"/>
      <c r="F24" s="62"/>
      <c r="G24" s="67"/>
      <c r="H24" s="62"/>
      <c r="I24" s="65"/>
      <c r="J24" s="2" t="str">
        <f>IF(D24="","",IFERROR(INDEX('Products'!$B$7:$B$16,SUMPRODUCT(--('Products'!$A$7:$A$16=D24),ROW('Products'!$A$7:$A$16))-6),"Check SKU"))</f>
      </c>
      <c r="K24" s="2" t="str">
        <f>IF(M24&lt;&gt;"Ready","",F24-E24)</f>
      </c>
      <c r="L24" s="27" t="str">
        <f>IF(M24&lt;&gt;"Ready","",K24*G24)</f>
      </c>
      <c r="M24" s="2" t="str">
        <f>IF(COUNTA(A24:I24)=0,"",IF(OR(A24="",C24="",D24="",COUNT(B24,E24:G24)&lt;&gt;4),"Missing inputs",IF(OR(SUMPRODUCT(--('Stocktake'!$A$7:$A$26=A24))&lt;&gt;1,SUMPRODUCT(--('Stocktake'!$C$7:$C$26=C24),--('Stocktake'!$D$7:$D$26=D24))&lt;&gt;1),"Duplicate count / cycle SKU",IF(SUMPRODUCT(--('Products'!$A$7:$A$16=D24),--('Products'!$P$7:$P$16="Ready"))&lt;&gt;1,"Check SKU",IF(OR(B24&lt;1,B24&gt;Start!$F$5,MOD(B24,1)&lt;&gt;0,NOT(AND(ISNUMBER(Start!$F$5),Start!$F$5&gt;=1,Start!$F$5&lt;=73415,MOD(Start!$F$5,1)=0))),"Check count date",IF(OR(MIN(E24:G24)&lt;0,MAX(E24:G24)&gt;1000000000,MOD(E24,1)&lt;&gt;0,MOD(F24,1)&lt;&gt;0),"Check quantity / cost","Ready"))))))</f>
      </c>
      <c r="N24" s="2" t="str">
        <f>IF(A24="","",IF(M24&lt;&gt;"Ready","Check inputs",IF(K24=0,"No adjustment",IF(I24="","Post adjustment",IF(SUMPRODUCT(--('Stocktake'!$I$7:$I$26=I24))&lt;&gt;1,"Movement reused",IF(SUMPRODUCT(--('Transactions'!$A$7:$A$106=I24),--('Transactions'!$K$7:$K$106=D24),--('Transactions'!$D$7:$D$106=Q24),--('Transactions'!$E$7:$E$106=R24),--('Transactions'!$F$7:$F$106=C24),--('Transactions'!$H$7:$H$106="Ready"),--('Transactions'!$B$7:$B$106&gt;=B24),--('Transactions'!$B$7:$B$106&lt;=Start!$F$5))=1,"Recorded","Check posted movement"))))))</f>
      </c>
      <c r="O24" s="2" t="str">
        <f>IF(D24="","",IFERROR(INDEX('Inventory'!$G$7:$G$16,SUMPRODUCT(--('Products'!$A$7:$A$16=D24),ROW('Products'!$A$7:$A$16))-6),""))</f>
      </c>
      <c r="P24" s="27" t="str">
        <f>IF(D24="","",IFERROR(INDEX('Products'!$F$7:$F$16,SUMPRODUCT(--('Products'!$A$7:$A$16=D24),ROW('Products'!$A$7:$A$16))-6),""))</f>
      </c>
      <c r="Q24" s="2" t="str">
        <f>IF(OR(M24&lt;&gt;"Ready",K24=0),"",IF(K24&gt;0,"ADJUST+","ADJUST-"))</f>
      </c>
      <c r="R24" s="2" t="str">
        <f>IF(OR(M24&lt;&gt;"Ready",K24=0),"",ABS(K24))</f>
      </c>
      <c r="S24" s="2" t="str">
        <f>IF(OR(M24&lt;&gt;"Ready",K24=0),"","COUNT-"&amp;A24)</f>
      </c>
    </row>
    <row r="25" ht="24" customHeight="1">
      <c r="A25" s="65"/>
      <c r="B25" s="63"/>
      <c r="C25" s="65"/>
      <c r="D25" s="65"/>
      <c r="E25" s="62"/>
      <c r="F25" s="62"/>
      <c r="G25" s="67"/>
      <c r="H25" s="62"/>
      <c r="I25" s="65"/>
      <c r="J25" s="2" t="str">
        <f>IF(D25="","",IFERROR(INDEX('Products'!$B$7:$B$16,SUMPRODUCT(--('Products'!$A$7:$A$16=D25),ROW('Products'!$A$7:$A$16))-6),"Check SKU"))</f>
      </c>
      <c r="K25" s="2" t="str">
        <f>IF(M25&lt;&gt;"Ready","",F25-E25)</f>
      </c>
      <c r="L25" s="27" t="str">
        <f>IF(M25&lt;&gt;"Ready","",K25*G25)</f>
      </c>
      <c r="M25" s="2" t="str">
        <f>IF(COUNTA(A25:I25)=0,"",IF(OR(A25="",C25="",D25="",COUNT(B25,E25:G25)&lt;&gt;4),"Missing inputs",IF(OR(SUMPRODUCT(--('Stocktake'!$A$7:$A$26=A25))&lt;&gt;1,SUMPRODUCT(--('Stocktake'!$C$7:$C$26=C25),--('Stocktake'!$D$7:$D$26=D25))&lt;&gt;1),"Duplicate count / cycle SKU",IF(SUMPRODUCT(--('Products'!$A$7:$A$16=D25),--('Products'!$P$7:$P$16="Ready"))&lt;&gt;1,"Check SKU",IF(OR(B25&lt;1,B25&gt;Start!$F$5,MOD(B25,1)&lt;&gt;0,NOT(AND(ISNUMBER(Start!$F$5),Start!$F$5&gt;=1,Start!$F$5&lt;=73415,MOD(Start!$F$5,1)=0))),"Check count date",IF(OR(MIN(E25:G25)&lt;0,MAX(E25:G25)&gt;1000000000,MOD(E25,1)&lt;&gt;0,MOD(F25,1)&lt;&gt;0),"Check quantity / cost","Ready"))))))</f>
      </c>
      <c r="N25" s="2" t="str">
        <f>IF(A25="","",IF(M25&lt;&gt;"Ready","Check inputs",IF(K25=0,"No adjustment",IF(I25="","Post adjustment",IF(SUMPRODUCT(--('Stocktake'!$I$7:$I$26=I25))&lt;&gt;1,"Movement reused",IF(SUMPRODUCT(--('Transactions'!$A$7:$A$106=I25),--('Transactions'!$K$7:$K$106=D25),--('Transactions'!$D$7:$D$106=Q25),--('Transactions'!$E$7:$E$106=R25),--('Transactions'!$F$7:$F$106=C25),--('Transactions'!$H$7:$H$106="Ready"),--('Transactions'!$B$7:$B$106&gt;=B25),--('Transactions'!$B$7:$B$106&lt;=Start!$F$5))=1,"Recorded","Check posted movement"))))))</f>
      </c>
      <c r="O25" s="2" t="str">
        <f>IF(D25="","",IFERROR(INDEX('Inventory'!$G$7:$G$16,SUMPRODUCT(--('Products'!$A$7:$A$16=D25),ROW('Products'!$A$7:$A$16))-6),""))</f>
      </c>
      <c r="P25" s="27" t="str">
        <f>IF(D25="","",IFERROR(INDEX('Products'!$F$7:$F$16,SUMPRODUCT(--('Products'!$A$7:$A$16=D25),ROW('Products'!$A$7:$A$16))-6),""))</f>
      </c>
      <c r="Q25" s="2" t="str">
        <f>IF(OR(M25&lt;&gt;"Ready",K25=0),"",IF(K25&gt;0,"ADJUST+","ADJUST-"))</f>
      </c>
      <c r="R25" s="2" t="str">
        <f>IF(OR(M25&lt;&gt;"Ready",K25=0),"",ABS(K25))</f>
      </c>
      <c r="S25" s="2" t="str">
        <f>IF(OR(M25&lt;&gt;"Ready",K25=0),"","COUNT-"&amp;A25)</f>
      </c>
    </row>
    <row r="26" ht="24" customHeight="1">
      <c r="A26" s="65"/>
      <c r="B26" s="63"/>
      <c r="C26" s="65"/>
      <c r="D26" s="65"/>
      <c r="E26" s="62"/>
      <c r="F26" s="62"/>
      <c r="G26" s="67"/>
      <c r="H26" s="62"/>
      <c r="I26" s="65"/>
      <c r="J26" s="2" t="str">
        <f>IF(D26="","",IFERROR(INDEX('Products'!$B$7:$B$16,SUMPRODUCT(--('Products'!$A$7:$A$16=D26),ROW('Products'!$A$7:$A$16))-6),"Check SKU"))</f>
      </c>
      <c r="K26" s="2" t="str">
        <f>IF(M26&lt;&gt;"Ready","",F26-E26)</f>
      </c>
      <c r="L26" s="27" t="str">
        <f>IF(M26&lt;&gt;"Ready","",K26*G26)</f>
      </c>
      <c r="M26" s="2" t="str">
        <f>IF(COUNTA(A26:I26)=0,"",IF(OR(A26="",C26="",D26="",COUNT(B26,E26:G26)&lt;&gt;4),"Missing inputs",IF(OR(SUMPRODUCT(--('Stocktake'!$A$7:$A$26=A26))&lt;&gt;1,SUMPRODUCT(--('Stocktake'!$C$7:$C$26=C26),--('Stocktake'!$D$7:$D$26=D26))&lt;&gt;1),"Duplicate count / cycle SKU",IF(SUMPRODUCT(--('Products'!$A$7:$A$16=D26),--('Products'!$P$7:$P$16="Ready"))&lt;&gt;1,"Check SKU",IF(OR(B26&lt;1,B26&gt;Start!$F$5,MOD(B26,1)&lt;&gt;0,NOT(AND(ISNUMBER(Start!$F$5),Start!$F$5&gt;=1,Start!$F$5&lt;=73415,MOD(Start!$F$5,1)=0))),"Check count date",IF(OR(MIN(E26:G26)&lt;0,MAX(E26:G26)&gt;1000000000,MOD(E26,1)&lt;&gt;0,MOD(F26,1)&lt;&gt;0),"Check quantity / cost","Ready"))))))</f>
      </c>
      <c r="N26" s="2" t="str">
        <f>IF(A26="","",IF(M26&lt;&gt;"Ready","Check inputs",IF(K26=0,"No adjustment",IF(I26="","Post adjustment",IF(SUMPRODUCT(--('Stocktake'!$I$7:$I$26=I26))&lt;&gt;1,"Movement reused",IF(SUMPRODUCT(--('Transactions'!$A$7:$A$106=I26),--('Transactions'!$K$7:$K$106=D26),--('Transactions'!$D$7:$D$106=Q26),--('Transactions'!$E$7:$E$106=R26),--('Transactions'!$F$7:$F$106=C26),--('Transactions'!$H$7:$H$106="Ready"),--('Transactions'!$B$7:$B$106&gt;=B26),--('Transactions'!$B$7:$B$106&lt;=Start!$F$5))=1,"Recorded","Check posted movement"))))))</f>
      </c>
      <c r="O26" s="2" t="str">
        <f>IF(D26="","",IFERROR(INDEX('Inventory'!$G$7:$G$16,SUMPRODUCT(--('Products'!$A$7:$A$16=D26),ROW('Products'!$A$7:$A$16))-6),""))</f>
      </c>
      <c r="P26" s="27" t="str">
        <f>IF(D26="","",IFERROR(INDEX('Products'!$F$7:$F$16,SUMPRODUCT(--('Products'!$A$7:$A$16=D26),ROW('Products'!$A$7:$A$16))-6),""))</f>
      </c>
      <c r="Q26" s="2" t="str">
        <f>IF(OR(M26&lt;&gt;"Ready",K26=0),"",IF(K26&gt;0,"ADJUST+","ADJUST-"))</f>
      </c>
      <c r="R26" s="2" t="str">
        <f>IF(OR(M26&lt;&gt;"Ready",K26=0),"",ABS(K26))</f>
      </c>
      <c r="S26" s="2" t="str">
        <f>IF(OR(M26&lt;&gt;"Ready",K26=0),"","COUNT-"&amp;A26)</f>
      </c>
    </row>
  </sheetData>
  <sheetProtection sheet="1" objects="1" scenarios="1" autoFilter="0" sort="1" formatColumns="0" formatRows="0" selectLockedCells="0" selectUnlockedCells="0"/>
  <mergeCells>
    <mergeCell ref="A3:S3"/>
  </mergeCells>
  <conditionalFormatting sqref="B7:B26">
    <cfRule type="expression" dxfId="127" priority="1">
      <formula>INDIRECT("Start!$F$7")="dd/mm/yyyy"</formula>
    </cfRule>
    <cfRule type="expression" dxfId="128" priority="2">
      <formula>INDIRECT("Start!$F$7")="mm/dd/yyyy"</formula>
    </cfRule>
    <cfRule type="expression" dxfId="129" priority="3">
      <formula>INDIRECT("Start!$F$7")="yyyy-mm-dd"</formula>
    </cfRule>
    <cfRule type="expression" dxfId="130" priority="4">
      <formula>INDIRECT("Start!$F$7")="dd.mm.yyyy"</formula>
    </cfRule>
    <cfRule type="expression" dxfId="131" priority="5">
      <formula>INDIRECT("Start!$F$7")="yyyy/mm/dd"</formula>
    </cfRule>
  </conditionalFormatting>
  <conditionalFormatting sqref="G7:G26">
    <cfRule type="expression" dxfId="132" priority="6">
      <formula>INDIRECT("Start!$C$7")="AUD"</formula>
    </cfRule>
    <cfRule type="expression" dxfId="133" priority="7">
      <formula>INDIRECT("Start!$C$7")="NZD"</formula>
    </cfRule>
    <cfRule type="expression" dxfId="134" priority="8">
      <formula>INDIRECT("Start!$C$7")="USD"</formula>
    </cfRule>
    <cfRule type="expression" dxfId="135" priority="9">
      <formula>INDIRECT("Start!$C$7")="GBP"</formula>
    </cfRule>
    <cfRule type="expression" dxfId="136" priority="10">
      <formula>INDIRECT("Start!$C$7")="CAD"</formula>
    </cfRule>
    <cfRule type="expression" dxfId="137" priority="11">
      <formula>INDIRECT("Start!$C$7")="CNY"</formula>
    </cfRule>
    <cfRule type="expression" dxfId="138" priority="12">
      <formula>INDIRECT("Start!$C$7")="SGD"</formula>
    </cfRule>
    <cfRule type="expression" dxfId="139" priority="13">
      <formula>INDIRECT("Start!$C$7")="EUR"</formula>
    </cfRule>
    <cfRule type="expression" dxfId="140" priority="14">
      <formula>INDIRECT("Start!$C$7")="JPY"</formula>
    </cfRule>
  </conditionalFormatting>
  <conditionalFormatting sqref="L7:L26">
    <cfRule type="expression" dxfId="141" priority="15">
      <formula>INDIRECT("Start!$C$7")="AUD"</formula>
    </cfRule>
    <cfRule type="expression" dxfId="142" priority="16">
      <formula>INDIRECT("Start!$C$7")="NZD"</formula>
    </cfRule>
    <cfRule type="expression" dxfId="143" priority="17">
      <formula>INDIRECT("Start!$C$7")="USD"</formula>
    </cfRule>
    <cfRule type="expression" dxfId="144" priority="18">
      <formula>INDIRECT("Start!$C$7")="GBP"</formula>
    </cfRule>
    <cfRule type="expression" dxfId="145" priority="19">
      <formula>INDIRECT("Start!$C$7")="CAD"</formula>
    </cfRule>
    <cfRule type="expression" dxfId="146" priority="20">
      <formula>INDIRECT("Start!$C$7")="CNY"</formula>
    </cfRule>
    <cfRule type="expression" dxfId="147" priority="21">
      <formula>INDIRECT("Start!$C$7")="SGD"</formula>
    </cfRule>
    <cfRule type="expression" dxfId="148" priority="22">
      <formula>INDIRECT("Start!$C$7")="EUR"</formula>
    </cfRule>
    <cfRule type="expression" dxfId="149" priority="23">
      <formula>INDIRECT("Start!$C$7")="JPY"</formula>
    </cfRule>
  </conditionalFormatting>
  <conditionalFormatting sqref="P7:P26">
    <cfRule type="expression" dxfId="150" priority="24">
      <formula>INDIRECT("Start!$C$7")="AUD"</formula>
    </cfRule>
    <cfRule type="expression" dxfId="151" priority="25">
      <formula>INDIRECT("Start!$C$7")="NZD"</formula>
    </cfRule>
    <cfRule type="expression" dxfId="152" priority="26">
      <formula>INDIRECT("Start!$C$7")="USD"</formula>
    </cfRule>
    <cfRule type="expression" dxfId="153" priority="27">
      <formula>INDIRECT("Start!$C$7")="GBP"</formula>
    </cfRule>
    <cfRule type="expression" dxfId="154" priority="28">
      <formula>INDIRECT("Start!$C$7")="CAD"</formula>
    </cfRule>
    <cfRule type="expression" dxfId="155" priority="29">
      <formula>INDIRECT("Start!$C$7")="CNY"</formula>
    </cfRule>
    <cfRule type="expression" dxfId="156" priority="30">
      <formula>INDIRECT("Start!$C$7")="SGD"</formula>
    </cfRule>
    <cfRule type="expression" dxfId="157" priority="31">
      <formula>INDIRECT("Start!$C$7")="EUR"</formula>
    </cfRule>
    <cfRule type="expression" dxfId="158" priority="32">
      <formula>INDIRECT("Start!$C$7")="JPY"</formula>
    </cfRule>
  </conditionalFormatting>
  <conditionalFormatting sqref="M7:N26">
    <cfRule type="expression" dxfId="159" priority="33">
      <formula>AND($A7&lt;&gt;"",OR($M7&lt;&gt;"Ready",AND($N7&lt;&gt;"Recorded",$N7&lt;&gt;"No adjustment")))</formula>
    </cfRule>
  </conditionalFormatting>
  <dataValidations count="3">
    <dataValidation type="whole" operator="between" sqref="E7:F26" allowBlank="1" showErrorMessage="1" errorStyle="stop">
      <formula1>0</formula1>
      <formula2>1000000000</formula2>
    </dataValidation>
    <dataValidation type="decimal" operator="between" sqref="G7:G26" allowBlank="1" showErrorMessage="1" errorStyle="stop">
      <formula1>0</formula1>
      <formula2>1000000000</formula2>
    </dataValidation>
    <dataValidation type="list" sqref="D7:D26" allowBlank="1" showErrorMessage="1" errorStyle="stop">
      <formula1>INDIRECT("Products!$A$7:$A$16")</formula1>
    </dataValidation>
  </dataValidations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9af042156e4347dd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4" ySplit="6" topLeftCell="E7" activePane="bottomRight" state="frozen"/>
    </sheetView>
  </sheetViews>
  <sheetFormatPr defaultRowHeight="15"/>
  <cols>
    <col min="1" max="1" width="26" hidden="0" customWidth="1"/>
    <col min="2" max="2" width="17" hidden="0" customWidth="1"/>
    <col min="3" max="3" width="22" hidden="0" customWidth="1"/>
    <col min="4" max="4" width="20" hidden="0" customWidth="1"/>
    <col min="5" max="5" width="20" hidden="0" customWidth="1"/>
    <col min="6" max="6" width="18" hidden="0" customWidth="1"/>
    <col min="7" max="7" width="20" hidden="0" customWidth="1"/>
    <col min="8" max="8" width="30" hidden="0" customWidth="1"/>
    <col min="9" max="9" width="24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t="str">
        <v>Reorder</v>
      </c>
    </row>
    <row r="2" ht="24" customHeight="1">
      <c r="A2" s="3" t="str">
        <v>Prepare a count</v>
      </c>
      <c r="B2" s="2"/>
      <c r="C2" s="2"/>
      <c r="D2" s="2"/>
      <c r="E2" s="2"/>
      <c r="F2" s="2"/>
      <c r="G2" s="2"/>
      <c r="H2" s="2"/>
      <c r="I2" s="2"/>
    </row>
    <row r="3" ht="38" customHeight="1">
      <c r="A3" s="40" t="str">
        <v>Enter a cycle ID in C4. Copy active rows A:I, then Paste Special &gt; Values into unused Stocktake A:I rows. The pasted book/cost values stay fixed. Do not paste over formula columns.</v>
      </c>
      <c r="B3" s="40"/>
      <c r="C3" s="40"/>
      <c r="D3" s="40"/>
      <c r="E3" s="40"/>
      <c r="F3" s="40"/>
      <c r="G3" s="40"/>
      <c r="H3" s="40"/>
      <c r="I3" s="40"/>
    </row>
    <row r="4" ht="24" customHeight="1">
      <c r="A4" s="2"/>
      <c r="B4" s="2" t="str">
        <v>Cycle ID</v>
      </c>
      <c r="C4" s="62" t="str">
        <v>EXAMPLE-COUNT-01</v>
      </c>
      <c r="D4" s="2"/>
      <c r="E4" s="2" t="str">
        <v>Snapshot date</v>
      </c>
      <c r="F4" s="26" t="n">
        <f>Start!$F$5</f>
        <v>46313</v>
      </c>
      <c r="G4" s="2"/>
      <c r="H4" s="2"/>
      <c r="I4" s="2"/>
    </row>
    <row r="5" ht="24" customHeight="1">
      <c r="A5" s="2" t="str">
        <f>IF(C4="","Enter a new cycle ID",IF(SUMPRODUCT(--('Stocktake'!$C$7:$C$26=C4))&gt;0,"Cycle already exists. Use a new cycle ID.","Copy active A:I rows as values. Blank physical counts remain missing."))</f>
        <v>Cycle already exists. Use a new cycle ID.</v>
      </c>
      <c r="B5" s="2"/>
      <c r="C5" s="2"/>
      <c r="D5" s="2"/>
      <c r="E5" s="2"/>
      <c r="F5" s="2"/>
      <c r="G5" s="2"/>
      <c r="H5" s="2"/>
      <c r="I5" s="2"/>
    </row>
    <row r="6" ht="42" customHeight="1">
      <c r="A6" s="10" t="str">
        <v>Count line ID</v>
      </c>
      <c r="B6" s="10" t="str">
        <v>Count date</v>
      </c>
      <c r="C6" s="10" t="str">
        <v>Cycle ID</v>
      </c>
      <c r="D6" s="10" t="str">
        <v>SKU</v>
      </c>
      <c r="E6" s="10" t="str">
        <v>Book qty snapshot</v>
      </c>
      <c r="F6" s="10" t="str">
        <v>Counted qty</v>
      </c>
      <c r="G6" s="10" t="str">
        <v>Unit cost snapshot</v>
      </c>
      <c r="H6" s="10" t="str">
        <v>Notes</v>
      </c>
      <c r="I6" s="10" t="str">
        <v>Posted movement ID</v>
      </c>
    </row>
    <row r="7" ht="24" customHeight="1">
      <c r="A7" s="2" t="str">
        <f>IF(AND('Products'!A7&lt;&gt;"",'Inventory'!N7="Ready",$C$4&lt;&gt;""),$C$4&amp;"-"&amp;'Products'!A7,"")</f>
        <v>EXAMPLE-COUNT-01-SKU000123</v>
      </c>
      <c r="B7" s="26" t="n">
        <f>IF(A7="","",Start!$F$5)</f>
        <v>46313</v>
      </c>
      <c r="C7" s="2" t="str">
        <f>IF(A7="","",$C$4)</f>
        <v>EXAMPLE-COUNT-01</v>
      </c>
      <c r="D7" s="2" t="str">
        <f>IF(A7="","",'Products'!A7)</f>
        <v>SKU000123</v>
      </c>
      <c r="E7" s="2" t="n">
        <f>IF(A7="","",'Inventory'!G7)</f>
        <v>13</v>
      </c>
      <c r="F7" s="2" t="str">
        <f>""</f>
      </c>
      <c r="G7" s="27" t="n">
        <f>IF(A7="","",'Products'!F7)</f>
        <v>10</v>
      </c>
      <c r="H7" s="2" t="str">
        <f>""</f>
      </c>
      <c r="I7" s="2" t="str">
        <f>""</f>
      </c>
    </row>
    <row r="8" ht="24" customHeight="1">
      <c r="A8" s="2" t="str">
        <f>IF(AND('Products'!A8&lt;&gt;"",'Inventory'!N8="Ready",$C$4&lt;&gt;""),$C$4&amp;"-"&amp;'Products'!A8,"")</f>
        <v>EXAMPLE-COUNT-01-WILD*?~</v>
      </c>
      <c r="B8" s="26" t="n">
        <f>IF(A8="","",Start!$F$5)</f>
        <v>46313</v>
      </c>
      <c r="C8" s="2" t="str">
        <f>IF(A8="","",$C$4)</f>
        <v>EXAMPLE-COUNT-01</v>
      </c>
      <c r="D8" s="2" t="str">
        <f>IF(A8="","",'Products'!A8)</f>
        <v>WILD*?~</v>
      </c>
      <c r="E8" s="2" t="n">
        <f>IF(A8="","",'Inventory'!G8)</f>
        <v>110</v>
      </c>
      <c r="F8" s="2" t="str">
        <f>""</f>
      </c>
      <c r="G8" s="27" t="n">
        <f>IF(A8="","",'Products'!F8)</f>
        <v>2</v>
      </c>
      <c r="H8" s="2" t="str">
        <f>""</f>
      </c>
      <c r="I8" s="2" t="str">
        <f>""</f>
      </c>
    </row>
    <row r="9" ht="24" customHeight="1">
      <c r="A9" s="2" t="str">
        <f>IF(AND('Products'!A9&lt;&gt;"",'Inventory'!N9="Ready",$C$4&lt;&gt;""),$C$4&amp;"-"&amp;'Products'!A9,"")</f>
      </c>
      <c r="B9" s="26" t="str">
        <f>IF(A9="","",Start!$F$5)</f>
      </c>
      <c r="C9" s="2" t="str">
        <f>IF(A9="","",$C$4)</f>
      </c>
      <c r="D9" s="2" t="str">
        <f>IF(A9="","",'Products'!A9)</f>
      </c>
      <c r="E9" s="2" t="str">
        <f>IF(A9="","",'Inventory'!G9)</f>
      </c>
      <c r="F9" s="2" t="str">
        <f>""</f>
      </c>
      <c r="G9" s="27" t="str">
        <f>IF(A9="","",'Products'!F9)</f>
      </c>
      <c r="H9" s="2" t="str">
        <f>""</f>
      </c>
      <c r="I9" s="2" t="str">
        <f>""</f>
      </c>
    </row>
    <row r="10" ht="24" customHeight="1">
      <c r="A10" s="2" t="str">
        <f>IF(AND('Products'!A10&lt;&gt;"",'Inventory'!N10="Ready",$C$4&lt;&gt;""),$C$4&amp;"-"&amp;'Products'!A10,"")</f>
      </c>
      <c r="B10" s="26" t="str">
        <f>IF(A10="","",Start!$F$5)</f>
      </c>
      <c r="C10" s="2" t="str">
        <f>IF(A10="","",$C$4)</f>
      </c>
      <c r="D10" s="2" t="str">
        <f>IF(A10="","",'Products'!A10)</f>
      </c>
      <c r="E10" s="2" t="str">
        <f>IF(A10="","",'Inventory'!G10)</f>
      </c>
      <c r="F10" s="2" t="str">
        <f>""</f>
      </c>
      <c r="G10" s="27" t="str">
        <f>IF(A10="","",'Products'!F10)</f>
      </c>
      <c r="H10" s="2" t="str">
        <f>""</f>
      </c>
      <c r="I10" s="2" t="str">
        <f>""</f>
      </c>
    </row>
    <row r="11" ht="24" customHeight="1">
      <c r="A11" s="2" t="str">
        <f>IF(AND('Products'!A11&lt;&gt;"",'Inventory'!N11="Ready",$C$4&lt;&gt;""),$C$4&amp;"-"&amp;'Products'!A11,"")</f>
      </c>
      <c r="B11" s="26" t="str">
        <f>IF(A11="","",Start!$F$5)</f>
      </c>
      <c r="C11" s="2" t="str">
        <f>IF(A11="","",$C$4)</f>
      </c>
      <c r="D11" s="2" t="str">
        <f>IF(A11="","",'Products'!A11)</f>
      </c>
      <c r="E11" s="2" t="str">
        <f>IF(A11="","",'Inventory'!G11)</f>
      </c>
      <c r="F11" s="2" t="str">
        <f>""</f>
      </c>
      <c r="G11" s="27" t="str">
        <f>IF(A11="","",'Products'!F11)</f>
      </c>
      <c r="H11" s="2" t="str">
        <f>""</f>
      </c>
      <c r="I11" s="2" t="str">
        <f>""</f>
      </c>
    </row>
    <row r="12" ht="24" customHeight="1">
      <c r="A12" s="2" t="str">
        <f>IF(AND('Products'!A12&lt;&gt;"",'Inventory'!N12="Ready",$C$4&lt;&gt;""),$C$4&amp;"-"&amp;'Products'!A12,"")</f>
      </c>
      <c r="B12" s="26" t="str">
        <f>IF(A12="","",Start!$F$5)</f>
      </c>
      <c r="C12" s="2" t="str">
        <f>IF(A12="","",$C$4)</f>
      </c>
      <c r="D12" s="2" t="str">
        <f>IF(A12="","",'Products'!A12)</f>
      </c>
      <c r="E12" s="2" t="str">
        <f>IF(A12="","",'Inventory'!G12)</f>
      </c>
      <c r="F12" s="2" t="str">
        <f>""</f>
      </c>
      <c r="G12" s="27" t="str">
        <f>IF(A12="","",'Products'!F12)</f>
      </c>
      <c r="H12" s="2" t="str">
        <f>""</f>
      </c>
      <c r="I12" s="2" t="str">
        <f>""</f>
      </c>
    </row>
    <row r="13" ht="24" customHeight="1">
      <c r="A13" s="2" t="str">
        <f>IF(AND('Products'!A13&lt;&gt;"",'Inventory'!N13="Ready",$C$4&lt;&gt;""),$C$4&amp;"-"&amp;'Products'!A13,"")</f>
      </c>
      <c r="B13" s="26" t="str">
        <f>IF(A13="","",Start!$F$5)</f>
      </c>
      <c r="C13" s="2" t="str">
        <f>IF(A13="","",$C$4)</f>
      </c>
      <c r="D13" s="2" t="str">
        <f>IF(A13="","",'Products'!A13)</f>
      </c>
      <c r="E13" s="2" t="str">
        <f>IF(A13="","",'Inventory'!G13)</f>
      </c>
      <c r="F13" s="2" t="str">
        <f>""</f>
      </c>
      <c r="G13" s="27" t="str">
        <f>IF(A13="","",'Products'!F13)</f>
      </c>
      <c r="H13" s="2" t="str">
        <f>""</f>
      </c>
      <c r="I13" s="2" t="str">
        <f>""</f>
      </c>
    </row>
    <row r="14" ht="24" customHeight="1">
      <c r="A14" s="2" t="str">
        <f>IF(AND('Products'!A14&lt;&gt;"",'Inventory'!N14="Ready",$C$4&lt;&gt;""),$C$4&amp;"-"&amp;'Products'!A14,"")</f>
      </c>
      <c r="B14" s="26" t="str">
        <f>IF(A14="","",Start!$F$5)</f>
      </c>
      <c r="C14" s="2" t="str">
        <f>IF(A14="","",$C$4)</f>
      </c>
      <c r="D14" s="2" t="str">
        <f>IF(A14="","",'Products'!A14)</f>
      </c>
      <c r="E14" s="2" t="str">
        <f>IF(A14="","",'Inventory'!G14)</f>
      </c>
      <c r="F14" s="2" t="str">
        <f>""</f>
      </c>
      <c r="G14" s="27" t="str">
        <f>IF(A14="","",'Products'!F14)</f>
      </c>
      <c r="H14" s="2" t="str">
        <f>""</f>
      </c>
      <c r="I14" s="2" t="str">
        <f>""</f>
      </c>
    </row>
    <row r="15" ht="24" customHeight="1">
      <c r="A15" s="2" t="str">
        <f>IF(AND('Products'!A15&lt;&gt;"",'Inventory'!N15="Ready",$C$4&lt;&gt;""),$C$4&amp;"-"&amp;'Products'!A15,"")</f>
      </c>
      <c r="B15" s="26" t="str">
        <f>IF(A15="","",Start!$F$5)</f>
      </c>
      <c r="C15" s="2" t="str">
        <f>IF(A15="","",$C$4)</f>
      </c>
      <c r="D15" s="2" t="str">
        <f>IF(A15="","",'Products'!A15)</f>
      </c>
      <c r="E15" s="2" t="str">
        <f>IF(A15="","",'Inventory'!G15)</f>
      </c>
      <c r="F15" s="2" t="str">
        <f>""</f>
      </c>
      <c r="G15" s="27" t="str">
        <f>IF(A15="","",'Products'!F15)</f>
      </c>
      <c r="H15" s="2" t="str">
        <f>""</f>
      </c>
      <c r="I15" s="2" t="str">
        <f>""</f>
      </c>
    </row>
    <row r="16" ht="24" customHeight="1">
      <c r="A16" s="2" t="str">
        <f>IF(AND('Products'!A16&lt;&gt;"",'Inventory'!N16="Ready",$C$4&lt;&gt;""),$C$4&amp;"-"&amp;'Products'!A16,"")</f>
      </c>
      <c r="B16" s="26" t="str">
        <f>IF(A16="","",Start!$F$5)</f>
      </c>
      <c r="C16" s="2" t="str">
        <f>IF(A16="","",$C$4)</f>
      </c>
      <c r="D16" s="2" t="str">
        <f>IF(A16="","",'Products'!A16)</f>
      </c>
      <c r="E16" s="2" t="str">
        <f>IF(A16="","",'Inventory'!G16)</f>
      </c>
      <c r="F16" s="2" t="str">
        <f>""</f>
      </c>
      <c r="G16" s="27" t="str">
        <f>IF(A16="","",'Products'!F16)</f>
      </c>
      <c r="H16" s="2" t="str">
        <f>""</f>
      </c>
      <c r="I16" s="2" t="str">
        <f>""</f>
      </c>
    </row>
  </sheetData>
  <sheetProtection sheet="1" objects="1" scenarios="1" autoFilter="0" sort="1" formatColumns="0" formatRows="0" selectLockedCells="0" selectUnlockedCells="0"/>
  <mergeCells>
    <mergeCell ref="A3:I3"/>
  </mergeCells>
  <conditionalFormatting sqref="F4:F4">
    <cfRule type="expression" dxfId="160" priority="1">
      <formula>INDIRECT("Start!$F$7")="dd/mm/yyyy"</formula>
    </cfRule>
    <cfRule type="expression" dxfId="161" priority="2">
      <formula>INDIRECT("Start!$F$7")="mm/dd/yyyy"</formula>
    </cfRule>
    <cfRule type="expression" dxfId="162" priority="3">
      <formula>INDIRECT("Start!$F$7")="yyyy-mm-dd"</formula>
    </cfRule>
    <cfRule type="expression" dxfId="163" priority="4">
      <formula>INDIRECT("Start!$F$7")="dd.mm.yyyy"</formula>
    </cfRule>
    <cfRule type="expression" dxfId="164" priority="5">
      <formula>INDIRECT("Start!$F$7")="yyyy/mm/dd"</formula>
    </cfRule>
  </conditionalFormatting>
  <conditionalFormatting sqref="B7:B16">
    <cfRule type="expression" dxfId="165" priority="6">
      <formula>INDIRECT("Start!$F$7")="dd/mm/yyyy"</formula>
    </cfRule>
    <cfRule type="expression" dxfId="166" priority="7">
      <formula>INDIRECT("Start!$F$7")="mm/dd/yyyy"</formula>
    </cfRule>
    <cfRule type="expression" dxfId="167" priority="8">
      <formula>INDIRECT("Start!$F$7")="yyyy-mm-dd"</formula>
    </cfRule>
    <cfRule type="expression" dxfId="168" priority="9">
      <formula>INDIRECT("Start!$F$7")="dd.mm.yyyy"</formula>
    </cfRule>
    <cfRule type="expression" dxfId="169" priority="10">
      <formula>INDIRECT("Start!$F$7")="yyyy/mm/dd"</formula>
    </cfRule>
  </conditionalFormatting>
  <conditionalFormatting sqref="G7:G16">
    <cfRule type="expression" dxfId="170" priority="11">
      <formula>INDIRECT("Start!$C$7")="AUD"</formula>
    </cfRule>
    <cfRule type="expression" dxfId="171" priority="12">
      <formula>INDIRECT("Start!$C$7")="NZD"</formula>
    </cfRule>
    <cfRule type="expression" dxfId="172" priority="13">
      <formula>INDIRECT("Start!$C$7")="USD"</formula>
    </cfRule>
    <cfRule type="expression" dxfId="173" priority="14">
      <formula>INDIRECT("Start!$C$7")="GBP"</formula>
    </cfRule>
    <cfRule type="expression" dxfId="174" priority="15">
      <formula>INDIRECT("Start!$C$7")="CAD"</formula>
    </cfRule>
    <cfRule type="expression" dxfId="175" priority="16">
      <formula>INDIRECT("Start!$C$7")="CNY"</formula>
    </cfRule>
    <cfRule type="expression" dxfId="176" priority="17">
      <formula>INDIRECT("Start!$C$7")="SGD"</formula>
    </cfRule>
    <cfRule type="expression" dxfId="177" priority="18">
      <formula>INDIRECT("Start!$C$7")="EUR"</formula>
    </cfRule>
    <cfRule type="expression" dxfId="178" priority="19">
      <formula>INDIRECT("Start!$C$7")="JPY"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476c6a7cd5834897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1" ySplit="6" topLeftCell="B7" activePane="bottomRight" state="frozen"/>
    </sheetView>
  </sheetViews>
  <sheetFormatPr defaultRowHeight="15"/>
  <cols>
    <col min="1" max="1" width="27" hidden="0" customWidth="1"/>
    <col min="2" max="2" width="17" hidden="0" customWidth="1"/>
    <col min="3" max="3" width="20" hidden="0" customWidth="1"/>
    <col min="4" max="4" width="18" hidden="0" customWidth="1"/>
    <col min="5" max="5" width="18" hidden="0" customWidth="1"/>
    <col min="6" max="6" width="22" hidden="0" customWidth="1"/>
    <col min="7" max="7" width="31" hidden="0" customWidth="1"/>
    <col min="8" max="8" width="26" hidden="0" customWidth="1"/>
    <col min="9" max="9" width="26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t="str">
        <v>Reorder</v>
      </c>
    </row>
    <row r="2" ht="24" customHeight="1">
      <c r="A2" s="3" t="str">
        <v>Count adjustments</v>
      </c>
      <c r="B2" s="2"/>
      <c r="C2" s="2"/>
      <c r="D2" s="2"/>
      <c r="E2" s="2"/>
      <c r="F2" s="2"/>
      <c r="G2" s="2"/>
      <c r="H2" s="2"/>
      <c r="I2" s="2"/>
    </row>
    <row r="3" ht="38" customHeight="1">
      <c r="A3" s="40" t="str">
        <v>Filter Posting state = Post adjustment. Approve each difference, copy A:G as VALUES into unused Transactions A:G rows, then paste the movement ID into Stocktake I. Never post the same count twice.</v>
      </c>
      <c r="B3" s="40"/>
      <c r="C3" s="40"/>
      <c r="D3" s="40"/>
      <c r="E3" s="40"/>
      <c r="F3" s="40"/>
      <c r="G3" s="40"/>
      <c r="H3" s="40"/>
      <c r="I3" s="40"/>
    </row>
    <row r="4" ht="24" customHeight="1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2"/>
      <c r="C5" s="2"/>
      <c r="D5" s="2"/>
      <c r="E5" s="2"/>
      <c r="F5" s="2"/>
      <c r="G5" s="2"/>
      <c r="H5" s="2"/>
      <c r="I5" s="2"/>
    </row>
    <row r="6" ht="42" customHeight="1">
      <c r="A6" s="10" t="str">
        <v>Movement ID</v>
      </c>
      <c r="B6" s="10" t="str">
        <v>Date</v>
      </c>
      <c r="C6" s="10" t="str">
        <v>SKU</v>
      </c>
      <c r="D6" s="10" t="str">
        <v>Movement</v>
      </c>
      <c r="E6" s="10" t="str">
        <v>Quantity</v>
      </c>
      <c r="F6" s="10" t="str">
        <v>Reference</v>
      </c>
      <c r="G6" s="10" t="str">
        <v>Notes</v>
      </c>
      <c r="H6" s="10" t="str">
        <v>Count line ID</v>
      </c>
      <c r="I6" s="10" t="str">
        <v>Posting state</v>
      </c>
    </row>
    <row r="7" ht="24" customHeight="1">
      <c r="A7" s="2" t="str">
        <f>IF('Stocktake'!N7&lt;&gt;"Post adjustment","",'Stocktake'!S7)</f>
      </c>
      <c r="B7" s="26" t="str">
        <f>IF(A7="","",'Stocktake'!B7)</f>
      </c>
      <c r="C7" s="2" t="str">
        <f>IF(A7="","",'Stocktake'!D7)</f>
      </c>
      <c r="D7" s="2" t="str">
        <f>IF(A7="","",'Stocktake'!Q7)</f>
      </c>
      <c r="E7" s="2" t="str">
        <f>IF(A7="","",'Stocktake'!R7)</f>
      </c>
      <c r="F7" s="2" t="str">
        <f>IF(A7="","",'Stocktake'!C7)</f>
      </c>
      <c r="G7" s="2" t="str">
        <f>IF(A7="","","Approved count adjustment")</f>
      </c>
      <c r="H7" s="2" t="str">
        <f>IF('Stocktake'!A7="","",'Stocktake'!A7)</f>
        <v>EXAMPLE-COUNT-01-SKU000123</v>
      </c>
      <c r="I7" s="2" t="str">
        <f>IF(H7="","",'Stocktake'!N7)</f>
        <v>Recorded</v>
      </c>
    </row>
    <row r="8" ht="24" customHeight="1">
      <c r="A8" s="2" t="str">
        <f>IF('Stocktake'!N8&lt;&gt;"Post adjustment","",'Stocktake'!S8)</f>
      </c>
      <c r="B8" s="26" t="str">
        <f>IF(A8="","",'Stocktake'!B8)</f>
      </c>
      <c r="C8" s="2" t="str">
        <f>IF(A8="","",'Stocktake'!D8)</f>
      </c>
      <c r="D8" s="2" t="str">
        <f>IF(A8="","",'Stocktake'!Q8)</f>
      </c>
      <c r="E8" s="2" t="str">
        <f>IF(A8="","",'Stocktake'!R8)</f>
      </c>
      <c r="F8" s="2" t="str">
        <f>IF(A8="","",'Stocktake'!C8)</f>
      </c>
      <c r="G8" s="2" t="str">
        <f>IF(A8="","","Approved count adjustment")</f>
      </c>
      <c r="H8" s="2" t="str">
        <f>IF('Stocktake'!A8="","",'Stocktake'!A8)</f>
        <v>SECOND-COUNT</v>
      </c>
      <c r="I8" s="2" t="str">
        <f>IF(H8="","",'Stocktake'!N8)</f>
        <v>No adjustment</v>
      </c>
    </row>
    <row r="9" ht="24" customHeight="1">
      <c r="A9" s="2" t="str">
        <f>IF('Stocktake'!N9&lt;&gt;"Post adjustment","",'Stocktake'!S9)</f>
      </c>
      <c r="B9" s="26" t="str">
        <f>IF(A9="","",'Stocktake'!B9)</f>
      </c>
      <c r="C9" s="2" t="str">
        <f>IF(A9="","",'Stocktake'!D9)</f>
      </c>
      <c r="D9" s="2" t="str">
        <f>IF(A9="","",'Stocktake'!Q9)</f>
      </c>
      <c r="E9" s="2" t="str">
        <f>IF(A9="","",'Stocktake'!R9)</f>
      </c>
      <c r="F9" s="2" t="str">
        <f>IF(A9="","",'Stocktake'!C9)</f>
      </c>
      <c r="G9" s="2" t="str">
        <f>IF(A9="","","Approved count adjustment")</f>
      </c>
      <c r="H9" s="2" t="str">
        <f>IF('Stocktake'!A9="","",'Stocktake'!A9)</f>
      </c>
      <c r="I9" s="2" t="str">
        <f>IF(H9="","",'Stocktake'!N9)</f>
      </c>
    </row>
    <row r="10" ht="24" customHeight="1">
      <c r="A10" s="2" t="str">
        <f>IF('Stocktake'!N10&lt;&gt;"Post adjustment","",'Stocktake'!S10)</f>
      </c>
      <c r="B10" s="26" t="str">
        <f>IF(A10="","",'Stocktake'!B10)</f>
      </c>
      <c r="C10" s="2" t="str">
        <f>IF(A10="","",'Stocktake'!D10)</f>
      </c>
      <c r="D10" s="2" t="str">
        <f>IF(A10="","",'Stocktake'!Q10)</f>
      </c>
      <c r="E10" s="2" t="str">
        <f>IF(A10="","",'Stocktake'!R10)</f>
      </c>
      <c r="F10" s="2" t="str">
        <f>IF(A10="","",'Stocktake'!C10)</f>
      </c>
      <c r="G10" s="2" t="str">
        <f>IF(A10="","","Approved count adjustment")</f>
      </c>
      <c r="H10" s="2" t="str">
        <f>IF('Stocktake'!A10="","",'Stocktake'!A10)</f>
      </c>
      <c r="I10" s="2" t="str">
        <f>IF(H10="","",'Stocktake'!N10)</f>
      </c>
    </row>
    <row r="11" ht="24" customHeight="1">
      <c r="A11" s="2" t="str">
        <f>IF('Stocktake'!N11&lt;&gt;"Post adjustment","",'Stocktake'!S11)</f>
      </c>
      <c r="B11" s="26" t="str">
        <f>IF(A11="","",'Stocktake'!B11)</f>
      </c>
      <c r="C11" s="2" t="str">
        <f>IF(A11="","",'Stocktake'!D11)</f>
      </c>
      <c r="D11" s="2" t="str">
        <f>IF(A11="","",'Stocktake'!Q11)</f>
      </c>
      <c r="E11" s="2" t="str">
        <f>IF(A11="","",'Stocktake'!R11)</f>
      </c>
      <c r="F11" s="2" t="str">
        <f>IF(A11="","",'Stocktake'!C11)</f>
      </c>
      <c r="G11" s="2" t="str">
        <f>IF(A11="","","Approved count adjustment")</f>
      </c>
      <c r="H11" s="2" t="str">
        <f>IF('Stocktake'!A11="","",'Stocktake'!A11)</f>
      </c>
      <c r="I11" s="2" t="str">
        <f>IF(H11="","",'Stocktake'!N11)</f>
      </c>
    </row>
    <row r="12" ht="24" customHeight="1">
      <c r="A12" s="2" t="str">
        <f>IF('Stocktake'!N12&lt;&gt;"Post adjustment","",'Stocktake'!S12)</f>
      </c>
      <c r="B12" s="26" t="str">
        <f>IF(A12="","",'Stocktake'!B12)</f>
      </c>
      <c r="C12" s="2" t="str">
        <f>IF(A12="","",'Stocktake'!D12)</f>
      </c>
      <c r="D12" s="2" t="str">
        <f>IF(A12="","",'Stocktake'!Q12)</f>
      </c>
      <c r="E12" s="2" t="str">
        <f>IF(A12="","",'Stocktake'!R12)</f>
      </c>
      <c r="F12" s="2" t="str">
        <f>IF(A12="","",'Stocktake'!C12)</f>
      </c>
      <c r="G12" s="2" t="str">
        <f>IF(A12="","","Approved count adjustment")</f>
      </c>
      <c r="H12" s="2" t="str">
        <f>IF('Stocktake'!A12="","",'Stocktake'!A12)</f>
      </c>
      <c r="I12" s="2" t="str">
        <f>IF(H12="","",'Stocktake'!N12)</f>
      </c>
    </row>
    <row r="13" ht="24" customHeight="1">
      <c r="A13" s="2" t="str">
        <f>IF('Stocktake'!N13&lt;&gt;"Post adjustment","",'Stocktake'!S13)</f>
      </c>
      <c r="B13" s="26" t="str">
        <f>IF(A13="","",'Stocktake'!B13)</f>
      </c>
      <c r="C13" s="2" t="str">
        <f>IF(A13="","",'Stocktake'!D13)</f>
      </c>
      <c r="D13" s="2" t="str">
        <f>IF(A13="","",'Stocktake'!Q13)</f>
      </c>
      <c r="E13" s="2" t="str">
        <f>IF(A13="","",'Stocktake'!R13)</f>
      </c>
      <c r="F13" s="2" t="str">
        <f>IF(A13="","",'Stocktake'!C13)</f>
      </c>
      <c r="G13" s="2" t="str">
        <f>IF(A13="","","Approved count adjustment")</f>
      </c>
      <c r="H13" s="2" t="str">
        <f>IF('Stocktake'!A13="","",'Stocktake'!A13)</f>
      </c>
      <c r="I13" s="2" t="str">
        <f>IF(H13="","",'Stocktake'!N13)</f>
      </c>
    </row>
    <row r="14" ht="24" customHeight="1">
      <c r="A14" s="2" t="str">
        <f>IF('Stocktake'!N14&lt;&gt;"Post adjustment","",'Stocktake'!S14)</f>
      </c>
      <c r="B14" s="26" t="str">
        <f>IF(A14="","",'Stocktake'!B14)</f>
      </c>
      <c r="C14" s="2" t="str">
        <f>IF(A14="","",'Stocktake'!D14)</f>
      </c>
      <c r="D14" s="2" t="str">
        <f>IF(A14="","",'Stocktake'!Q14)</f>
      </c>
      <c r="E14" s="2" t="str">
        <f>IF(A14="","",'Stocktake'!R14)</f>
      </c>
      <c r="F14" s="2" t="str">
        <f>IF(A14="","",'Stocktake'!C14)</f>
      </c>
      <c r="G14" s="2" t="str">
        <f>IF(A14="","","Approved count adjustment")</f>
      </c>
      <c r="H14" s="2" t="str">
        <f>IF('Stocktake'!A14="","",'Stocktake'!A14)</f>
      </c>
      <c r="I14" s="2" t="str">
        <f>IF(H14="","",'Stocktake'!N14)</f>
      </c>
    </row>
    <row r="15" ht="24" customHeight="1">
      <c r="A15" s="2" t="str">
        <f>IF('Stocktake'!N15&lt;&gt;"Post adjustment","",'Stocktake'!S15)</f>
      </c>
      <c r="B15" s="26" t="str">
        <f>IF(A15="","",'Stocktake'!B15)</f>
      </c>
      <c r="C15" s="2" t="str">
        <f>IF(A15="","",'Stocktake'!D15)</f>
      </c>
      <c r="D15" s="2" t="str">
        <f>IF(A15="","",'Stocktake'!Q15)</f>
      </c>
      <c r="E15" s="2" t="str">
        <f>IF(A15="","",'Stocktake'!R15)</f>
      </c>
      <c r="F15" s="2" t="str">
        <f>IF(A15="","",'Stocktake'!C15)</f>
      </c>
      <c r="G15" s="2" t="str">
        <f>IF(A15="","","Approved count adjustment")</f>
      </c>
      <c r="H15" s="2" t="str">
        <f>IF('Stocktake'!A15="","",'Stocktake'!A15)</f>
      </c>
      <c r="I15" s="2" t="str">
        <f>IF(H15="","",'Stocktake'!N15)</f>
      </c>
    </row>
    <row r="16" ht="24" customHeight="1">
      <c r="A16" s="2" t="str">
        <f>IF('Stocktake'!N16&lt;&gt;"Post adjustment","",'Stocktake'!S16)</f>
      </c>
      <c r="B16" s="26" t="str">
        <f>IF(A16="","",'Stocktake'!B16)</f>
      </c>
      <c r="C16" s="2" t="str">
        <f>IF(A16="","",'Stocktake'!D16)</f>
      </c>
      <c r="D16" s="2" t="str">
        <f>IF(A16="","",'Stocktake'!Q16)</f>
      </c>
      <c r="E16" s="2" t="str">
        <f>IF(A16="","",'Stocktake'!R16)</f>
      </c>
      <c r="F16" s="2" t="str">
        <f>IF(A16="","",'Stocktake'!C16)</f>
      </c>
      <c r="G16" s="2" t="str">
        <f>IF(A16="","","Approved count adjustment")</f>
      </c>
      <c r="H16" s="2" t="str">
        <f>IF('Stocktake'!A16="","",'Stocktake'!A16)</f>
      </c>
      <c r="I16" s="2" t="str">
        <f>IF(H16="","",'Stocktake'!N16)</f>
      </c>
    </row>
    <row r="17" ht="24" customHeight="1">
      <c r="A17" s="2" t="str">
        <f>IF('Stocktake'!N17&lt;&gt;"Post adjustment","",'Stocktake'!S17)</f>
      </c>
      <c r="B17" s="26" t="str">
        <f>IF(A17="","",'Stocktake'!B17)</f>
      </c>
      <c r="C17" s="2" t="str">
        <f>IF(A17="","",'Stocktake'!D17)</f>
      </c>
      <c r="D17" s="2" t="str">
        <f>IF(A17="","",'Stocktake'!Q17)</f>
      </c>
      <c r="E17" s="2" t="str">
        <f>IF(A17="","",'Stocktake'!R17)</f>
      </c>
      <c r="F17" s="2" t="str">
        <f>IF(A17="","",'Stocktake'!C17)</f>
      </c>
      <c r="G17" s="2" t="str">
        <f>IF(A17="","","Approved count adjustment")</f>
      </c>
      <c r="H17" s="2" t="str">
        <f>IF('Stocktake'!A17="","",'Stocktake'!A17)</f>
      </c>
      <c r="I17" s="2" t="str">
        <f>IF(H17="","",'Stocktake'!N17)</f>
      </c>
    </row>
    <row r="18" ht="24" customHeight="1">
      <c r="A18" s="2" t="str">
        <f>IF('Stocktake'!N18&lt;&gt;"Post adjustment","",'Stocktake'!S18)</f>
      </c>
      <c r="B18" s="26" t="str">
        <f>IF(A18="","",'Stocktake'!B18)</f>
      </c>
      <c r="C18" s="2" t="str">
        <f>IF(A18="","",'Stocktake'!D18)</f>
      </c>
      <c r="D18" s="2" t="str">
        <f>IF(A18="","",'Stocktake'!Q18)</f>
      </c>
      <c r="E18" s="2" t="str">
        <f>IF(A18="","",'Stocktake'!R18)</f>
      </c>
      <c r="F18" s="2" t="str">
        <f>IF(A18="","",'Stocktake'!C18)</f>
      </c>
      <c r="G18" s="2" t="str">
        <f>IF(A18="","","Approved count adjustment")</f>
      </c>
      <c r="H18" s="2" t="str">
        <f>IF('Stocktake'!A18="","",'Stocktake'!A18)</f>
      </c>
      <c r="I18" s="2" t="str">
        <f>IF(H18="","",'Stocktake'!N18)</f>
      </c>
    </row>
    <row r="19" ht="24" customHeight="1">
      <c r="A19" s="2" t="str">
        <f>IF('Stocktake'!N19&lt;&gt;"Post adjustment","",'Stocktake'!S19)</f>
      </c>
      <c r="B19" s="26" t="str">
        <f>IF(A19="","",'Stocktake'!B19)</f>
      </c>
      <c r="C19" s="2" t="str">
        <f>IF(A19="","",'Stocktake'!D19)</f>
      </c>
      <c r="D19" s="2" t="str">
        <f>IF(A19="","",'Stocktake'!Q19)</f>
      </c>
      <c r="E19" s="2" t="str">
        <f>IF(A19="","",'Stocktake'!R19)</f>
      </c>
      <c r="F19" s="2" t="str">
        <f>IF(A19="","",'Stocktake'!C19)</f>
      </c>
      <c r="G19" s="2" t="str">
        <f>IF(A19="","","Approved count adjustment")</f>
      </c>
      <c r="H19" s="2" t="str">
        <f>IF('Stocktake'!A19="","",'Stocktake'!A19)</f>
      </c>
      <c r="I19" s="2" t="str">
        <f>IF(H19="","",'Stocktake'!N19)</f>
      </c>
    </row>
    <row r="20" ht="24" customHeight="1">
      <c r="A20" s="2" t="str">
        <f>IF('Stocktake'!N20&lt;&gt;"Post adjustment","",'Stocktake'!S20)</f>
      </c>
      <c r="B20" s="26" t="str">
        <f>IF(A20="","",'Stocktake'!B20)</f>
      </c>
      <c r="C20" s="2" t="str">
        <f>IF(A20="","",'Stocktake'!D20)</f>
      </c>
      <c r="D20" s="2" t="str">
        <f>IF(A20="","",'Stocktake'!Q20)</f>
      </c>
      <c r="E20" s="2" t="str">
        <f>IF(A20="","",'Stocktake'!R20)</f>
      </c>
      <c r="F20" s="2" t="str">
        <f>IF(A20="","",'Stocktake'!C20)</f>
      </c>
      <c r="G20" s="2" t="str">
        <f>IF(A20="","","Approved count adjustment")</f>
      </c>
      <c r="H20" s="2" t="str">
        <f>IF('Stocktake'!A20="","",'Stocktake'!A20)</f>
      </c>
      <c r="I20" s="2" t="str">
        <f>IF(H20="","",'Stocktake'!N20)</f>
      </c>
    </row>
    <row r="21" ht="24" customHeight="1">
      <c r="A21" s="2" t="str">
        <f>IF('Stocktake'!N21&lt;&gt;"Post adjustment","",'Stocktake'!S21)</f>
      </c>
      <c r="B21" s="26" t="str">
        <f>IF(A21="","",'Stocktake'!B21)</f>
      </c>
      <c r="C21" s="2" t="str">
        <f>IF(A21="","",'Stocktake'!D21)</f>
      </c>
      <c r="D21" s="2" t="str">
        <f>IF(A21="","",'Stocktake'!Q21)</f>
      </c>
      <c r="E21" s="2" t="str">
        <f>IF(A21="","",'Stocktake'!R21)</f>
      </c>
      <c r="F21" s="2" t="str">
        <f>IF(A21="","",'Stocktake'!C21)</f>
      </c>
      <c r="G21" s="2" t="str">
        <f>IF(A21="","","Approved count adjustment")</f>
      </c>
      <c r="H21" s="2" t="str">
        <f>IF('Stocktake'!A21="","",'Stocktake'!A21)</f>
      </c>
      <c r="I21" s="2" t="str">
        <f>IF(H21="","",'Stocktake'!N21)</f>
      </c>
    </row>
    <row r="22" ht="24" customHeight="1">
      <c r="A22" s="2" t="str">
        <f>IF('Stocktake'!N22&lt;&gt;"Post adjustment","",'Stocktake'!S22)</f>
      </c>
      <c r="B22" s="26" t="str">
        <f>IF(A22="","",'Stocktake'!B22)</f>
      </c>
      <c r="C22" s="2" t="str">
        <f>IF(A22="","",'Stocktake'!D22)</f>
      </c>
      <c r="D22" s="2" t="str">
        <f>IF(A22="","",'Stocktake'!Q22)</f>
      </c>
      <c r="E22" s="2" t="str">
        <f>IF(A22="","",'Stocktake'!R22)</f>
      </c>
      <c r="F22" s="2" t="str">
        <f>IF(A22="","",'Stocktake'!C22)</f>
      </c>
      <c r="G22" s="2" t="str">
        <f>IF(A22="","","Approved count adjustment")</f>
      </c>
      <c r="H22" s="2" t="str">
        <f>IF('Stocktake'!A22="","",'Stocktake'!A22)</f>
      </c>
      <c r="I22" s="2" t="str">
        <f>IF(H22="","",'Stocktake'!N22)</f>
      </c>
    </row>
    <row r="23" ht="24" customHeight="1">
      <c r="A23" s="2" t="str">
        <f>IF('Stocktake'!N23&lt;&gt;"Post adjustment","",'Stocktake'!S23)</f>
      </c>
      <c r="B23" s="26" t="str">
        <f>IF(A23="","",'Stocktake'!B23)</f>
      </c>
      <c r="C23" s="2" t="str">
        <f>IF(A23="","",'Stocktake'!D23)</f>
      </c>
      <c r="D23" s="2" t="str">
        <f>IF(A23="","",'Stocktake'!Q23)</f>
      </c>
      <c r="E23" s="2" t="str">
        <f>IF(A23="","",'Stocktake'!R23)</f>
      </c>
      <c r="F23" s="2" t="str">
        <f>IF(A23="","",'Stocktake'!C23)</f>
      </c>
      <c r="G23" s="2" t="str">
        <f>IF(A23="","","Approved count adjustment")</f>
      </c>
      <c r="H23" s="2" t="str">
        <f>IF('Stocktake'!A23="","",'Stocktake'!A23)</f>
      </c>
      <c r="I23" s="2" t="str">
        <f>IF(H23="","",'Stocktake'!N23)</f>
      </c>
    </row>
    <row r="24" ht="24" customHeight="1">
      <c r="A24" s="2" t="str">
        <f>IF('Stocktake'!N24&lt;&gt;"Post adjustment","",'Stocktake'!S24)</f>
      </c>
      <c r="B24" s="26" t="str">
        <f>IF(A24="","",'Stocktake'!B24)</f>
      </c>
      <c r="C24" s="2" t="str">
        <f>IF(A24="","",'Stocktake'!D24)</f>
      </c>
      <c r="D24" s="2" t="str">
        <f>IF(A24="","",'Stocktake'!Q24)</f>
      </c>
      <c r="E24" s="2" t="str">
        <f>IF(A24="","",'Stocktake'!R24)</f>
      </c>
      <c r="F24" s="2" t="str">
        <f>IF(A24="","",'Stocktake'!C24)</f>
      </c>
      <c r="G24" s="2" t="str">
        <f>IF(A24="","","Approved count adjustment")</f>
      </c>
      <c r="H24" s="2" t="str">
        <f>IF('Stocktake'!A24="","",'Stocktake'!A24)</f>
      </c>
      <c r="I24" s="2" t="str">
        <f>IF(H24="","",'Stocktake'!N24)</f>
      </c>
    </row>
    <row r="25" ht="24" customHeight="1">
      <c r="A25" s="2" t="str">
        <f>IF('Stocktake'!N25&lt;&gt;"Post adjustment","",'Stocktake'!S25)</f>
      </c>
      <c r="B25" s="26" t="str">
        <f>IF(A25="","",'Stocktake'!B25)</f>
      </c>
      <c r="C25" s="2" t="str">
        <f>IF(A25="","",'Stocktake'!D25)</f>
      </c>
      <c r="D25" s="2" t="str">
        <f>IF(A25="","",'Stocktake'!Q25)</f>
      </c>
      <c r="E25" s="2" t="str">
        <f>IF(A25="","",'Stocktake'!R25)</f>
      </c>
      <c r="F25" s="2" t="str">
        <f>IF(A25="","",'Stocktake'!C25)</f>
      </c>
      <c r="G25" s="2" t="str">
        <f>IF(A25="","","Approved count adjustment")</f>
      </c>
      <c r="H25" s="2" t="str">
        <f>IF('Stocktake'!A25="","",'Stocktake'!A25)</f>
      </c>
      <c r="I25" s="2" t="str">
        <f>IF(H25="","",'Stocktake'!N25)</f>
      </c>
    </row>
    <row r="26" ht="24" customHeight="1">
      <c r="A26" s="2" t="str">
        <f>IF('Stocktake'!N26&lt;&gt;"Post adjustment","",'Stocktake'!S26)</f>
      </c>
      <c r="B26" s="26" t="str">
        <f>IF(A26="","",'Stocktake'!B26)</f>
      </c>
      <c r="C26" s="2" t="str">
        <f>IF(A26="","",'Stocktake'!D26)</f>
      </c>
      <c r="D26" s="2" t="str">
        <f>IF(A26="","",'Stocktake'!Q26)</f>
      </c>
      <c r="E26" s="2" t="str">
        <f>IF(A26="","",'Stocktake'!R26)</f>
      </c>
      <c r="F26" s="2" t="str">
        <f>IF(A26="","",'Stocktake'!C26)</f>
      </c>
      <c r="G26" s="2" t="str">
        <f>IF(A26="","","Approved count adjustment")</f>
      </c>
      <c r="H26" s="2" t="str">
        <f>IF('Stocktake'!A26="","",'Stocktake'!A26)</f>
      </c>
      <c r="I26" s="2" t="str">
        <f>IF(H26="","",'Stocktake'!N26)</f>
      </c>
    </row>
  </sheetData>
  <sheetProtection sheet="1" objects="1" scenarios="1" autoFilter="0" sort="1" formatColumns="0" formatRows="0" selectLockedCells="0" selectUnlockedCells="0"/>
  <mergeCells>
    <mergeCell ref="A3:I3"/>
  </mergeCells>
  <conditionalFormatting sqref="B7:B26">
    <cfRule type="expression" dxfId="179" priority="1">
      <formula>INDIRECT("Start!$F$7")="dd/mm/yyyy"</formula>
    </cfRule>
    <cfRule type="expression" dxfId="180" priority="2">
      <formula>INDIRECT("Start!$F$7")="mm/dd/yyyy"</formula>
    </cfRule>
    <cfRule type="expression" dxfId="181" priority="3">
      <formula>INDIRECT("Start!$F$7")="yyyy-mm-dd"</formula>
    </cfRule>
    <cfRule type="expression" dxfId="182" priority="4">
      <formula>INDIRECT("Start!$F$7")="dd.mm.yyyy"</formula>
    </cfRule>
    <cfRule type="expression" dxfId="183" priority="5">
      <formula>INDIRECT("Start!$F$7")="yyyy/mm/dd"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9a5620aa62ed45bf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6" topLeftCell="C7" activePane="bottomRight" state="frozen"/>
    </sheetView>
  </sheetViews>
  <sheetFormatPr defaultRowHeight="15"/>
  <cols>
    <col min="1" max="1" width="20" hidden="0" customWidth="1"/>
    <col min="2" max="2" width="30" hidden="0" customWidth="1"/>
    <col min="3" max="3" width="20" hidden="0" customWidth="1"/>
    <col min="4" max="4" width="13" hidden="0" customWidth="1"/>
    <col min="5" max="5" width="18" hidden="0" customWidth="1"/>
    <col min="6" max="6" width="18" hidden="0" customWidth="1"/>
    <col min="7" max="7" width="21" hidden="0" customWidth="1"/>
    <col min="8" max="8" width="16" hidden="0" customWidth="1"/>
    <col min="9" max="9" width="16" hidden="0" customWidth="1"/>
    <col min="10" max="10" width="16" hidden="0" customWidth="1"/>
    <col min="11" max="11" width="17" hidden="0" customWidth="1"/>
    <col min="12" max="12" width="18" hidden="0" customWidth="1"/>
    <col min="13" max="13" width="17" hidden="0" customWidth="1"/>
    <col min="14" max="14" width="26" hidden="0" customWidth="1"/>
    <col min="15" max="15" width="30" hidden="0" customWidth="1"/>
    <col min="16" max="16" width="25" hidden="0" customWidth="1"/>
    <col min="17" max="17" width="18" hidden="0" customWidth="1"/>
  </cols>
  <sheetData>
    <row r="1" ht="24" customHeight="1">
      <c r="A1" s="2" t="str">
        <v>Home</v>
      </c>
      <c r="B1" s="2"/>
      <c r="C1" s="2"/>
      <c r="D1" s="2" t="str">
        <v>Inventory</v>
      </c>
      <c r="E1" s="2"/>
      <c r="F1" s="2"/>
      <c r="G1" s="2" t="str">
        <v>Receive</v>
      </c>
      <c r="H1" s="2"/>
      <c r="I1" s="2"/>
      <c r="J1" s="2" t="str">
        <v>Reorder</v>
      </c>
      <c r="K1" s="2"/>
      <c r="L1" s="2"/>
      <c r="M1" s="2"/>
      <c r="N1" s="2"/>
      <c r="O1" s="2"/>
      <c r="P1" s="2"/>
      <c r="Q1" s="2"/>
    </row>
    <row r="2" ht="24" customHeight="1">
      <c r="A2" s="3" t="str">
        <v>Safe carry-forward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8" customHeight="1">
      <c r="A3" s="40" t="str">
        <v>Keep this file as a dated archive. When Ready, start the NEW blank v3 file. Copy A:O as values into Products A:O and Q into Q. P is a formula: never paste it. Copy open PO balances from the section below. Do not carry old movements.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ht="24" customHeight="1">
      <c r="A4" s="2" t="str">
        <f>IF(OR(NOT(AND(ISNUMBER(Start!$F$5),Start!$F$5&gt;=1,Start!$F$5&lt;=73415,MOD(Start!$F$5,1)=0)),NOT(AND(ISNUMBER(Start!$C$11),Start!$C$11&gt;=1,Start!$C$11&lt;=3650,MOD(Start!$C$11,1)=0)),SUMPRODUCT(--('Products'!$P$7:$P$16&lt;&gt;"Ready"),--('Products'!$P$7:$P$16&lt;&gt;""))+SUMPRODUCT(--('Transactions'!$H$7:$H$106&lt;&gt;"Ready"),--('Transactions'!$H$7:$H$106&lt;&gt;""))+SUMPRODUCT(--('PurchaseOrders'!$N$7:$N$16&lt;&gt;"Ready"),--('PurchaseOrders'!$N$7:$N$16&lt;&gt;""))+SUMPRODUCT(--('Stocktake'!$M$7:$M$26&lt;&gt;"Ready"),--('Stocktake'!$M$7:$M$26&lt;&gt;""))+SUM('PurchaseOrders'!$O$7:$O$16)+COUNTIFS('Stocktake'!$N$7:$N$26,"Post adjustment")+COUNTIFS('Stocktake'!$N$7:$N$26,"Check posted movement")+COUNTIFS('Stocktake'!$N$7:$N$26,"Movement reused")&gt;0,COUNTIFS('Transactions'!$H$7:$H$106,"Ready",'Transactions'!$B$7:$B$106,"&gt;"&amp;Start!$F$5)&gt;0,COUNTIFS('Inventory'!$G$7:$G$16,"&lt;0")&gt;0),"Blocked: resolve inputs, pending counts, future movements or negative stock first","Ready for reviewed carry-forward. Keep the old file unchanged.")</f>
        <v>Ready for reviewed carry-forward. Keep the old file unchanged.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ht="42" customHeight="1">
      <c r="A6" s="10" t="str">
        <v>SKU</v>
      </c>
      <c r="B6" s="10" t="str">
        <v>Product name</v>
      </c>
      <c r="C6" s="10" t="str">
        <v>Category</v>
      </c>
      <c r="D6" s="10" t="str">
        <v>Unit</v>
      </c>
      <c r="E6" s="10" t="str">
        <v>Opening qty</v>
      </c>
      <c r="F6" s="10" t="str">
        <v>Unit cost</v>
      </c>
      <c r="G6" s="10" t="str">
        <v>Manual daily demand</v>
      </c>
      <c r="H6" s="10" t="str">
        <v>Lead time</v>
      </c>
      <c r="I6" s="10" t="str">
        <v>Safety days</v>
      </c>
      <c r="J6" s="10" t="str">
        <v>Review days</v>
      </c>
      <c r="K6" s="10" t="str">
        <v>Order multiple</v>
      </c>
      <c r="L6" s="10" t="str">
        <v>Other on-order</v>
      </c>
      <c r="M6" s="10" t="str">
        <v>Backorders</v>
      </c>
      <c r="N6" s="10" t="str">
        <v>Supplier</v>
      </c>
      <c r="O6" s="10" t="str">
        <v>Notes</v>
      </c>
      <c r="P6" s="10" t="str">
        <v>Input status</v>
      </c>
      <c r="Q6" s="10" t="str">
        <v>Minimum order qty</v>
      </c>
    </row>
    <row r="7" ht="24" customHeight="1">
      <c r="A7" s="2" t="str">
        <f>IF('Products'!A7="","",'Products'!A7)</f>
        <v>SKU000123</v>
      </c>
      <c r="B7" s="2" t="str">
        <f>IF('Products'!A7="","",'Products'!B7)</f>
        <v>Synthetic spare part</v>
      </c>
      <c r="C7" s="2" t="str">
        <f>IF('Products'!A7="","",'Products'!C7)</f>
        <v>Parts</v>
      </c>
      <c r="D7" s="2" t="str">
        <f>IF('Products'!A7="","",'Products'!D7)</f>
        <v>EA</v>
      </c>
      <c r="E7" s="2" t="n">
        <f>IF('Products'!A7="","",'Inventory'!G7)</f>
        <v>13</v>
      </c>
      <c r="F7" s="27" t="n">
        <f>IF('Products'!A7="","",'Products'!F7)</f>
        <v>10</v>
      </c>
      <c r="G7" s="2" t="n">
        <f>IF('Products'!A7="","",'Products'!S7)</f>
        <v>10</v>
      </c>
      <c r="H7" s="2" t="n">
        <f>IF('Products'!A7="","",'Products'!H7)</f>
        <v>7</v>
      </c>
      <c r="I7" s="2" t="n">
        <f>IF('Products'!A7="","",'Products'!I7)</f>
        <v>7</v>
      </c>
      <c r="J7" s="2" t="n">
        <f>IF('Products'!A7="","",'Products'!J7)</f>
        <v>7</v>
      </c>
      <c r="K7" s="2" t="n">
        <f>IF('Products'!A7="","",'Products'!K7)</f>
        <v>10</v>
      </c>
      <c r="L7" s="2" t="n">
        <f>IF('Products'!A7="","",'Products'!L7)</f>
        <v>0</v>
      </c>
      <c r="M7" s="2" t="n">
        <f>IF('Products'!A7="","",'Products'!M7)</f>
        <v>0</v>
      </c>
      <c r="N7" s="2" t="str">
        <f>IF('Products'!A7="","",'Products'!N7)</f>
      </c>
      <c r="O7" s="2" t="str">
        <f>IF('Products'!A7="","",'Products'!O7)</f>
      </c>
      <c r="P7" s="2" t="str">
        <f>IF('Products'!A7="","","Do not copy P")</f>
        <v>Do not copy P</v>
      </c>
      <c r="Q7" s="2" t="n">
        <f>IF('Products'!A7="","",'Products'!Q7)</f>
        <v>0</v>
      </c>
    </row>
    <row r="8" ht="24" customHeight="1">
      <c r="A8" s="2" t="str">
        <f>IF('Products'!A8="","",'Products'!A8)</f>
        <v>WILD*?~</v>
      </c>
      <c r="B8" s="2" t="str">
        <f>IF('Products'!A8="","",'Products'!B8)</f>
        <v>Synthetic fastener</v>
      </c>
      <c r="C8" s="2" t="str">
        <f>IF('Products'!A8="","",'Products'!C8)</f>
        <v>Parts</v>
      </c>
      <c r="D8" s="2" t="str">
        <f>IF('Products'!A8="","",'Products'!D8)</f>
        <v>EA</v>
      </c>
      <c r="E8" s="2" t="n">
        <f>IF('Products'!A8="","",'Inventory'!G8)</f>
        <v>110</v>
      </c>
      <c r="F8" s="27" t="n">
        <f>IF('Products'!A8="","",'Products'!F8)</f>
        <v>2</v>
      </c>
      <c r="G8" s="2" t="n">
        <f>IF('Products'!A8="","",'Products'!S8)</f>
        <v>1</v>
      </c>
      <c r="H8" s="2" t="n">
        <f>IF('Products'!A8="","",'Products'!H8)</f>
        <v>7</v>
      </c>
      <c r="I8" s="2" t="n">
        <f>IF('Products'!A8="","",'Products'!I8)</f>
        <v>7</v>
      </c>
      <c r="J8" s="2" t="n">
        <f>IF('Products'!A8="","",'Products'!J8)</f>
        <v>7</v>
      </c>
      <c r="K8" s="2" t="n">
        <f>IF('Products'!A8="","",'Products'!K8)</f>
        <v>1</v>
      </c>
      <c r="L8" s="2" t="n">
        <f>IF('Products'!A8="","",'Products'!L8)</f>
        <v>0</v>
      </c>
      <c r="M8" s="2" t="n">
        <f>IF('Products'!A8="","",'Products'!M8)</f>
        <v>0</v>
      </c>
      <c r="N8" s="2" t="str">
        <f>IF('Products'!A8="","",'Products'!N8)</f>
      </c>
      <c r="O8" s="2" t="str">
        <f>IF('Products'!A8="","",'Products'!O8)</f>
      </c>
      <c r="P8" s="2" t="str">
        <f>IF('Products'!A8="","","Do not copy P")</f>
        <v>Do not copy P</v>
      </c>
      <c r="Q8" s="2" t="n">
        <f>IF('Products'!A8="","",'Products'!Q8)</f>
        <v>0</v>
      </c>
    </row>
    <row r="9" ht="24" customHeight="1">
      <c r="A9" s="2" t="str">
        <f>IF('Products'!A9="","",'Products'!A9)</f>
      </c>
      <c r="B9" s="2" t="str">
        <f>IF('Products'!A9="","",'Products'!B9)</f>
      </c>
      <c r="C9" s="2" t="str">
        <f>IF('Products'!A9="","",'Products'!C9)</f>
      </c>
      <c r="D9" s="2" t="str">
        <f>IF('Products'!A9="","",'Products'!D9)</f>
      </c>
      <c r="E9" s="2" t="str">
        <f>IF('Products'!A9="","",'Inventory'!G9)</f>
      </c>
      <c r="F9" s="27" t="str">
        <f>IF('Products'!A9="","",'Products'!F9)</f>
      </c>
      <c r="G9" s="2" t="str">
        <f>IF('Products'!A9="","",'Products'!S9)</f>
      </c>
      <c r="H9" s="2" t="str">
        <f>IF('Products'!A9="","",'Products'!H9)</f>
      </c>
      <c r="I9" s="2" t="str">
        <f>IF('Products'!A9="","",'Products'!I9)</f>
      </c>
      <c r="J9" s="2" t="str">
        <f>IF('Products'!A9="","",'Products'!J9)</f>
      </c>
      <c r="K9" s="2" t="str">
        <f>IF('Products'!A9="","",'Products'!K9)</f>
      </c>
      <c r="L9" s="2" t="str">
        <f>IF('Products'!A9="","",'Products'!L9)</f>
      </c>
      <c r="M9" s="2" t="str">
        <f>IF('Products'!A9="","",'Products'!M9)</f>
      </c>
      <c r="N9" s="2" t="str">
        <f>IF('Products'!A9="","",'Products'!N9)</f>
      </c>
      <c r="O9" s="2" t="str">
        <f>IF('Products'!A9="","",'Products'!O9)</f>
      </c>
      <c r="P9" s="2" t="str">
        <f>IF('Products'!A9="","","Do not copy P")</f>
      </c>
      <c r="Q9" s="2" t="str">
        <f>IF('Products'!A9="","",'Products'!Q9)</f>
      </c>
    </row>
    <row r="10" ht="24" customHeight="1">
      <c r="A10" s="2" t="str">
        <f>IF('Products'!A10="","",'Products'!A10)</f>
      </c>
      <c r="B10" s="2" t="str">
        <f>IF('Products'!A10="","",'Products'!B10)</f>
      </c>
      <c r="C10" s="2" t="str">
        <f>IF('Products'!A10="","",'Products'!C10)</f>
      </c>
      <c r="D10" s="2" t="str">
        <f>IF('Products'!A10="","",'Products'!D10)</f>
      </c>
      <c r="E10" s="2" t="str">
        <f>IF('Products'!A10="","",'Inventory'!G10)</f>
      </c>
      <c r="F10" s="27" t="str">
        <f>IF('Products'!A10="","",'Products'!F10)</f>
      </c>
      <c r="G10" s="2" t="str">
        <f>IF('Products'!A10="","",'Products'!S10)</f>
      </c>
      <c r="H10" s="2" t="str">
        <f>IF('Products'!A10="","",'Products'!H10)</f>
      </c>
      <c r="I10" s="2" t="str">
        <f>IF('Products'!A10="","",'Products'!I10)</f>
      </c>
      <c r="J10" s="2" t="str">
        <f>IF('Products'!A10="","",'Products'!J10)</f>
      </c>
      <c r="K10" s="2" t="str">
        <f>IF('Products'!A10="","",'Products'!K10)</f>
      </c>
      <c r="L10" s="2" t="str">
        <f>IF('Products'!A10="","",'Products'!L10)</f>
      </c>
      <c r="M10" s="2" t="str">
        <f>IF('Products'!A10="","",'Products'!M10)</f>
      </c>
      <c r="N10" s="2" t="str">
        <f>IF('Products'!A10="","",'Products'!N10)</f>
      </c>
      <c r="O10" s="2" t="str">
        <f>IF('Products'!A10="","",'Products'!O10)</f>
      </c>
      <c r="P10" s="2" t="str">
        <f>IF('Products'!A10="","","Do not copy P")</f>
      </c>
      <c r="Q10" s="2" t="str">
        <f>IF('Products'!A10="","",'Products'!Q10)</f>
      </c>
    </row>
    <row r="11" ht="24" customHeight="1">
      <c r="A11" s="2" t="str">
        <f>IF('Products'!A11="","",'Products'!A11)</f>
      </c>
      <c r="B11" s="2" t="str">
        <f>IF('Products'!A11="","",'Products'!B11)</f>
      </c>
      <c r="C11" s="2" t="str">
        <f>IF('Products'!A11="","",'Products'!C11)</f>
      </c>
      <c r="D11" s="2" t="str">
        <f>IF('Products'!A11="","",'Products'!D11)</f>
      </c>
      <c r="E11" s="2" t="str">
        <f>IF('Products'!A11="","",'Inventory'!G11)</f>
      </c>
      <c r="F11" s="27" t="str">
        <f>IF('Products'!A11="","",'Products'!F11)</f>
      </c>
      <c r="G11" s="2" t="str">
        <f>IF('Products'!A11="","",'Products'!S11)</f>
      </c>
      <c r="H11" s="2" t="str">
        <f>IF('Products'!A11="","",'Products'!H11)</f>
      </c>
      <c r="I11" s="2" t="str">
        <f>IF('Products'!A11="","",'Products'!I11)</f>
      </c>
      <c r="J11" s="2" t="str">
        <f>IF('Products'!A11="","",'Products'!J11)</f>
      </c>
      <c r="K11" s="2" t="str">
        <f>IF('Products'!A11="","",'Products'!K11)</f>
      </c>
      <c r="L11" s="2" t="str">
        <f>IF('Products'!A11="","",'Products'!L11)</f>
      </c>
      <c r="M11" s="2" t="str">
        <f>IF('Products'!A11="","",'Products'!M11)</f>
      </c>
      <c r="N11" s="2" t="str">
        <f>IF('Products'!A11="","",'Products'!N11)</f>
      </c>
      <c r="O11" s="2" t="str">
        <f>IF('Products'!A11="","",'Products'!O11)</f>
      </c>
      <c r="P11" s="2" t="str">
        <f>IF('Products'!A11="","","Do not copy P")</f>
      </c>
      <c r="Q11" s="2" t="str">
        <f>IF('Products'!A11="","",'Products'!Q11)</f>
      </c>
    </row>
    <row r="12" ht="24" customHeight="1">
      <c r="A12" s="2" t="str">
        <f>IF('Products'!A12="","",'Products'!A12)</f>
      </c>
      <c r="B12" s="2" t="str">
        <f>IF('Products'!A12="","",'Products'!B12)</f>
      </c>
      <c r="C12" s="2" t="str">
        <f>IF('Products'!A12="","",'Products'!C12)</f>
      </c>
      <c r="D12" s="2" t="str">
        <f>IF('Products'!A12="","",'Products'!D12)</f>
      </c>
      <c r="E12" s="2" t="str">
        <f>IF('Products'!A12="","",'Inventory'!G12)</f>
      </c>
      <c r="F12" s="27" t="str">
        <f>IF('Products'!A12="","",'Products'!F12)</f>
      </c>
      <c r="G12" s="2" t="str">
        <f>IF('Products'!A12="","",'Products'!S12)</f>
      </c>
      <c r="H12" s="2" t="str">
        <f>IF('Products'!A12="","",'Products'!H12)</f>
      </c>
      <c r="I12" s="2" t="str">
        <f>IF('Products'!A12="","",'Products'!I12)</f>
      </c>
      <c r="J12" s="2" t="str">
        <f>IF('Products'!A12="","",'Products'!J12)</f>
      </c>
      <c r="K12" s="2" t="str">
        <f>IF('Products'!A12="","",'Products'!K12)</f>
      </c>
      <c r="L12" s="2" t="str">
        <f>IF('Products'!A12="","",'Products'!L12)</f>
      </c>
      <c r="M12" s="2" t="str">
        <f>IF('Products'!A12="","",'Products'!M12)</f>
      </c>
      <c r="N12" s="2" t="str">
        <f>IF('Products'!A12="","",'Products'!N12)</f>
      </c>
      <c r="O12" s="2" t="str">
        <f>IF('Products'!A12="","",'Products'!O12)</f>
      </c>
      <c r="P12" s="2" t="str">
        <f>IF('Products'!A12="","","Do not copy P")</f>
      </c>
      <c r="Q12" s="2" t="str">
        <f>IF('Products'!A12="","",'Products'!Q12)</f>
      </c>
    </row>
    <row r="13" ht="24" customHeight="1">
      <c r="A13" s="2" t="str">
        <f>IF('Products'!A13="","",'Products'!A13)</f>
      </c>
      <c r="B13" s="2" t="str">
        <f>IF('Products'!A13="","",'Products'!B13)</f>
      </c>
      <c r="C13" s="2" t="str">
        <f>IF('Products'!A13="","",'Products'!C13)</f>
      </c>
      <c r="D13" s="2" t="str">
        <f>IF('Products'!A13="","",'Products'!D13)</f>
      </c>
      <c r="E13" s="2" t="str">
        <f>IF('Products'!A13="","",'Inventory'!G13)</f>
      </c>
      <c r="F13" s="27" t="str">
        <f>IF('Products'!A13="","",'Products'!F13)</f>
      </c>
      <c r="G13" s="2" t="str">
        <f>IF('Products'!A13="","",'Products'!S13)</f>
      </c>
      <c r="H13" s="2" t="str">
        <f>IF('Products'!A13="","",'Products'!H13)</f>
      </c>
      <c r="I13" s="2" t="str">
        <f>IF('Products'!A13="","",'Products'!I13)</f>
      </c>
      <c r="J13" s="2" t="str">
        <f>IF('Products'!A13="","",'Products'!J13)</f>
      </c>
      <c r="K13" s="2" t="str">
        <f>IF('Products'!A13="","",'Products'!K13)</f>
      </c>
      <c r="L13" s="2" t="str">
        <f>IF('Products'!A13="","",'Products'!L13)</f>
      </c>
      <c r="M13" s="2" t="str">
        <f>IF('Products'!A13="","",'Products'!M13)</f>
      </c>
      <c r="N13" s="2" t="str">
        <f>IF('Products'!A13="","",'Products'!N13)</f>
      </c>
      <c r="O13" s="2" t="str">
        <f>IF('Products'!A13="","",'Products'!O13)</f>
      </c>
      <c r="P13" s="2" t="str">
        <f>IF('Products'!A13="","","Do not copy P")</f>
      </c>
      <c r="Q13" s="2" t="str">
        <f>IF('Products'!A13="","",'Products'!Q13)</f>
      </c>
    </row>
    <row r="14" ht="24" customHeight="1">
      <c r="A14" s="2" t="str">
        <f>IF('Products'!A14="","",'Products'!A14)</f>
      </c>
      <c r="B14" s="2" t="str">
        <f>IF('Products'!A14="","",'Products'!B14)</f>
      </c>
      <c r="C14" s="2" t="str">
        <f>IF('Products'!A14="","",'Products'!C14)</f>
      </c>
      <c r="D14" s="2" t="str">
        <f>IF('Products'!A14="","",'Products'!D14)</f>
      </c>
      <c r="E14" s="2" t="str">
        <f>IF('Products'!A14="","",'Inventory'!G14)</f>
      </c>
      <c r="F14" s="27" t="str">
        <f>IF('Products'!A14="","",'Products'!F14)</f>
      </c>
      <c r="G14" s="2" t="str">
        <f>IF('Products'!A14="","",'Products'!S14)</f>
      </c>
      <c r="H14" s="2" t="str">
        <f>IF('Products'!A14="","",'Products'!H14)</f>
      </c>
      <c r="I14" s="2" t="str">
        <f>IF('Products'!A14="","",'Products'!I14)</f>
      </c>
      <c r="J14" s="2" t="str">
        <f>IF('Products'!A14="","",'Products'!J14)</f>
      </c>
      <c r="K14" s="2" t="str">
        <f>IF('Products'!A14="","",'Products'!K14)</f>
      </c>
      <c r="L14" s="2" t="str">
        <f>IF('Products'!A14="","",'Products'!L14)</f>
      </c>
      <c r="M14" s="2" t="str">
        <f>IF('Products'!A14="","",'Products'!M14)</f>
      </c>
      <c r="N14" s="2" t="str">
        <f>IF('Products'!A14="","",'Products'!N14)</f>
      </c>
      <c r="O14" s="2" t="str">
        <f>IF('Products'!A14="","",'Products'!O14)</f>
      </c>
      <c r="P14" s="2" t="str">
        <f>IF('Products'!A14="","","Do not copy P")</f>
      </c>
      <c r="Q14" s="2" t="str">
        <f>IF('Products'!A14="","",'Products'!Q14)</f>
      </c>
    </row>
    <row r="15" ht="24" customHeight="1">
      <c r="A15" s="2" t="str">
        <f>IF('Products'!A15="","",'Products'!A15)</f>
      </c>
      <c r="B15" s="2" t="str">
        <f>IF('Products'!A15="","",'Products'!B15)</f>
      </c>
      <c r="C15" s="2" t="str">
        <f>IF('Products'!A15="","",'Products'!C15)</f>
      </c>
      <c r="D15" s="2" t="str">
        <f>IF('Products'!A15="","",'Products'!D15)</f>
      </c>
      <c r="E15" s="2" t="str">
        <f>IF('Products'!A15="","",'Inventory'!G15)</f>
      </c>
      <c r="F15" s="27" t="str">
        <f>IF('Products'!A15="","",'Products'!F15)</f>
      </c>
      <c r="G15" s="2" t="str">
        <f>IF('Products'!A15="","",'Products'!S15)</f>
      </c>
      <c r="H15" s="2" t="str">
        <f>IF('Products'!A15="","",'Products'!H15)</f>
      </c>
      <c r="I15" s="2" t="str">
        <f>IF('Products'!A15="","",'Products'!I15)</f>
      </c>
      <c r="J15" s="2" t="str">
        <f>IF('Products'!A15="","",'Products'!J15)</f>
      </c>
      <c r="K15" s="2" t="str">
        <f>IF('Products'!A15="","",'Products'!K15)</f>
      </c>
      <c r="L15" s="2" t="str">
        <f>IF('Products'!A15="","",'Products'!L15)</f>
      </c>
      <c r="M15" s="2" t="str">
        <f>IF('Products'!A15="","",'Products'!M15)</f>
      </c>
      <c r="N15" s="2" t="str">
        <f>IF('Products'!A15="","",'Products'!N15)</f>
      </c>
      <c r="O15" s="2" t="str">
        <f>IF('Products'!A15="","",'Products'!O15)</f>
      </c>
      <c r="P15" s="2" t="str">
        <f>IF('Products'!A15="","","Do not copy P")</f>
      </c>
      <c r="Q15" s="2" t="str">
        <f>IF('Products'!A15="","",'Products'!Q15)</f>
      </c>
    </row>
    <row r="16" ht="24" customHeight="1">
      <c r="A16" s="2" t="str">
        <f>IF('Products'!A16="","",'Products'!A16)</f>
      </c>
      <c r="B16" s="2" t="str">
        <f>IF('Products'!A16="","",'Products'!B16)</f>
      </c>
      <c r="C16" s="2" t="str">
        <f>IF('Products'!A16="","",'Products'!C16)</f>
      </c>
      <c r="D16" s="2" t="str">
        <f>IF('Products'!A16="","",'Products'!D16)</f>
      </c>
      <c r="E16" s="2" t="str">
        <f>IF('Products'!A16="","",'Inventory'!G16)</f>
      </c>
      <c r="F16" s="27" t="str">
        <f>IF('Products'!A16="","",'Products'!F16)</f>
      </c>
      <c r="G16" s="2" t="str">
        <f>IF('Products'!A16="","",'Products'!S16)</f>
      </c>
      <c r="H16" s="2" t="str">
        <f>IF('Products'!A16="","",'Products'!H16)</f>
      </c>
      <c r="I16" s="2" t="str">
        <f>IF('Products'!A16="","",'Products'!I16)</f>
      </c>
      <c r="J16" s="2" t="str">
        <f>IF('Products'!A16="","",'Products'!J16)</f>
      </c>
      <c r="K16" s="2" t="str">
        <f>IF('Products'!A16="","",'Products'!K16)</f>
      </c>
      <c r="L16" s="2" t="str">
        <f>IF('Products'!A16="","",'Products'!L16)</f>
      </c>
      <c r="M16" s="2" t="str">
        <f>IF('Products'!A16="","",'Products'!M16)</f>
      </c>
      <c r="N16" s="2" t="str">
        <f>IF('Products'!A16="","",'Products'!N16)</f>
      </c>
      <c r="O16" s="2" t="str">
        <f>IF('Products'!A16="","",'Products'!O16)</f>
      </c>
      <c r="P16" s="2" t="str">
        <f>IF('Products'!A16="","","Do not copy P")</f>
      </c>
      <c r="Q16" s="2" t="str">
        <f>IF('Products'!A16="","",'Products'!Q16)</f>
      </c>
    </row>
    <row r="19">
      <c r="A19" t="str">
        <v>Open PO balances: paste these A:I values into PurchaseOrders A:I in the new file. Received history remains only in the archived file.</v>
      </c>
    </row>
    <row r="20">
      <c r="A20" t="str">
        <v>PO line ID</v>
      </c>
      <c r="B20" t="str">
        <v>PO number</v>
      </c>
      <c r="C20" t="str">
        <v>SKU</v>
      </c>
      <c r="D20" t="str">
        <v>Supplier</v>
      </c>
      <c r="E20" t="str">
        <v>Order date</v>
      </c>
      <c r="F20" t="str">
        <v>Due date</v>
      </c>
      <c r="G20" t="str">
        <v>Qty ordered</v>
      </c>
      <c r="H20" t="str">
        <v>PO unit cost</v>
      </c>
      <c r="I20" t="str">
        <v>Order status</v>
      </c>
    </row>
    <row r="21">
      <c r="A21" t="str">
        <f>IF(OR('PurchaseOrders'!A7="",'PurchaseOrders'!K7&lt;=0),"",'PurchaseOrders'!A7)</f>
        <v>POL-001</v>
      </c>
      <c r="B21" t="str">
        <f>IF(OR('PurchaseOrders'!A7="",'PurchaseOrders'!K7&lt;=0),"",'PurchaseOrders'!B7)</f>
        <v>PO-EXAMPLE-001</v>
      </c>
      <c r="C21" t="str">
        <f>IF(OR('PurchaseOrders'!A7="",'PurchaseOrders'!K7&lt;=0),"",'PurchaseOrders'!C7)</f>
        <v>SKU000123</v>
      </c>
      <c r="D21" t="str">
        <f>IF(OR('PurchaseOrders'!A7="",'PurchaseOrders'!K7&lt;=0),"",'PurchaseOrders'!D7)</f>
        <v>Example Supplier</v>
      </c>
      <c r="E21" s="58" t="n">
        <f>IF(OR('PurchaseOrders'!A7="",'PurchaseOrders'!K7&lt;=0),"",'PurchaseOrders'!E7)</f>
        <v>46296</v>
      </c>
      <c r="F21" s="58" t="n">
        <f>IF(OR('PurchaseOrders'!A7="",'PurchaseOrders'!K7&lt;=0),"",'PurchaseOrders'!F7)</f>
        <v>46316</v>
      </c>
      <c r="G21" t="n">
        <f>IF(OR('PurchaseOrders'!A7="",'PurchaseOrders'!K7&lt;=0),"",'PurchaseOrders'!K7)</f>
        <v>990</v>
      </c>
      <c r="H21" s="59" t="n">
        <f>IF(OR('PurchaseOrders'!A7="",'PurchaseOrders'!K7&lt;=0),"",'PurchaseOrders'!H7)</f>
        <v>9</v>
      </c>
      <c r="I21" t="str">
        <f>IF(OR('PurchaseOrders'!A7="",'PurchaseOrders'!K7&lt;=0),"",'PurchaseOrders'!I7)</f>
        <v>Open</v>
      </c>
    </row>
    <row r="22">
      <c r="A22" t="str">
        <f>IF(OR('PurchaseOrders'!A8="",'PurchaseOrders'!K8&lt;=0),"",'PurchaseOrders'!A8)</f>
      </c>
      <c r="B22" t="str">
        <f>IF(OR('PurchaseOrders'!A8="",'PurchaseOrders'!K8&lt;=0),"",'PurchaseOrders'!B8)</f>
      </c>
      <c r="C22" t="str">
        <f>IF(OR('PurchaseOrders'!A8="",'PurchaseOrders'!K8&lt;=0),"",'PurchaseOrders'!C8)</f>
      </c>
      <c r="D22" t="str">
        <f>IF(OR('PurchaseOrders'!A8="",'PurchaseOrders'!K8&lt;=0),"",'PurchaseOrders'!D8)</f>
      </c>
      <c r="E22" s="58" t="str">
        <f>IF(OR('PurchaseOrders'!A8="",'PurchaseOrders'!K8&lt;=0),"",'PurchaseOrders'!E8)</f>
      </c>
      <c r="F22" s="58" t="str">
        <f>IF(OR('PurchaseOrders'!A8="",'PurchaseOrders'!K8&lt;=0),"",'PurchaseOrders'!F8)</f>
      </c>
      <c r="G22" t="str">
        <f>IF(OR('PurchaseOrders'!A8="",'PurchaseOrders'!K8&lt;=0),"",'PurchaseOrders'!K8)</f>
      </c>
      <c r="H22" s="59" t="str">
        <f>IF(OR('PurchaseOrders'!A8="",'PurchaseOrders'!K8&lt;=0),"",'PurchaseOrders'!H8)</f>
      </c>
      <c r="I22" t="str">
        <f>IF(OR('PurchaseOrders'!A8="",'PurchaseOrders'!K8&lt;=0),"",'PurchaseOrders'!I8)</f>
      </c>
    </row>
    <row r="23">
      <c r="A23" t="str">
        <f>IF(OR('PurchaseOrders'!A9="",'PurchaseOrders'!K9&lt;=0),"",'PurchaseOrders'!A9)</f>
      </c>
      <c r="B23" t="str">
        <f>IF(OR('PurchaseOrders'!A9="",'PurchaseOrders'!K9&lt;=0),"",'PurchaseOrders'!B9)</f>
      </c>
      <c r="C23" t="str">
        <f>IF(OR('PurchaseOrders'!A9="",'PurchaseOrders'!K9&lt;=0),"",'PurchaseOrders'!C9)</f>
      </c>
      <c r="D23" t="str">
        <f>IF(OR('PurchaseOrders'!A9="",'PurchaseOrders'!K9&lt;=0),"",'PurchaseOrders'!D9)</f>
      </c>
      <c r="E23" s="58" t="str">
        <f>IF(OR('PurchaseOrders'!A9="",'PurchaseOrders'!K9&lt;=0),"",'PurchaseOrders'!E9)</f>
      </c>
      <c r="F23" s="58" t="str">
        <f>IF(OR('PurchaseOrders'!A9="",'PurchaseOrders'!K9&lt;=0),"",'PurchaseOrders'!F9)</f>
      </c>
      <c r="G23" t="str">
        <f>IF(OR('PurchaseOrders'!A9="",'PurchaseOrders'!K9&lt;=0),"",'PurchaseOrders'!K9)</f>
      </c>
      <c r="H23" s="59" t="str">
        <f>IF(OR('PurchaseOrders'!A9="",'PurchaseOrders'!K9&lt;=0),"",'PurchaseOrders'!H9)</f>
      </c>
      <c r="I23" t="str">
        <f>IF(OR('PurchaseOrders'!A9="",'PurchaseOrders'!K9&lt;=0),"",'PurchaseOrders'!I9)</f>
      </c>
    </row>
    <row r="24">
      <c r="A24" t="str">
        <f>IF(OR('PurchaseOrders'!A10="",'PurchaseOrders'!K10&lt;=0),"",'PurchaseOrders'!A10)</f>
      </c>
      <c r="B24" t="str">
        <f>IF(OR('PurchaseOrders'!A10="",'PurchaseOrders'!K10&lt;=0),"",'PurchaseOrders'!B10)</f>
      </c>
      <c r="C24" t="str">
        <f>IF(OR('PurchaseOrders'!A10="",'PurchaseOrders'!K10&lt;=0),"",'PurchaseOrders'!C10)</f>
      </c>
      <c r="D24" t="str">
        <f>IF(OR('PurchaseOrders'!A10="",'PurchaseOrders'!K10&lt;=0),"",'PurchaseOrders'!D10)</f>
      </c>
      <c r="E24" s="58" t="str">
        <f>IF(OR('PurchaseOrders'!A10="",'PurchaseOrders'!K10&lt;=0),"",'PurchaseOrders'!E10)</f>
      </c>
      <c r="F24" s="58" t="str">
        <f>IF(OR('PurchaseOrders'!A10="",'PurchaseOrders'!K10&lt;=0),"",'PurchaseOrders'!F10)</f>
      </c>
      <c r="G24" t="str">
        <f>IF(OR('PurchaseOrders'!A10="",'PurchaseOrders'!K10&lt;=0),"",'PurchaseOrders'!K10)</f>
      </c>
      <c r="H24" s="59" t="str">
        <f>IF(OR('PurchaseOrders'!A10="",'PurchaseOrders'!K10&lt;=0),"",'PurchaseOrders'!H10)</f>
      </c>
      <c r="I24" t="str">
        <f>IF(OR('PurchaseOrders'!A10="",'PurchaseOrders'!K10&lt;=0),"",'PurchaseOrders'!I10)</f>
      </c>
    </row>
    <row r="25">
      <c r="A25" t="str">
        <f>IF(OR('PurchaseOrders'!A11="",'PurchaseOrders'!K11&lt;=0),"",'PurchaseOrders'!A11)</f>
      </c>
      <c r="B25" t="str">
        <f>IF(OR('PurchaseOrders'!A11="",'PurchaseOrders'!K11&lt;=0),"",'PurchaseOrders'!B11)</f>
      </c>
      <c r="C25" t="str">
        <f>IF(OR('PurchaseOrders'!A11="",'PurchaseOrders'!K11&lt;=0),"",'PurchaseOrders'!C11)</f>
      </c>
      <c r="D25" t="str">
        <f>IF(OR('PurchaseOrders'!A11="",'PurchaseOrders'!K11&lt;=0),"",'PurchaseOrders'!D11)</f>
      </c>
      <c r="E25" s="58" t="str">
        <f>IF(OR('PurchaseOrders'!A11="",'PurchaseOrders'!K11&lt;=0),"",'PurchaseOrders'!E11)</f>
      </c>
      <c r="F25" s="58" t="str">
        <f>IF(OR('PurchaseOrders'!A11="",'PurchaseOrders'!K11&lt;=0),"",'PurchaseOrders'!F11)</f>
      </c>
      <c r="G25" t="str">
        <f>IF(OR('PurchaseOrders'!A11="",'PurchaseOrders'!K11&lt;=0),"",'PurchaseOrders'!K11)</f>
      </c>
      <c r="H25" s="59" t="str">
        <f>IF(OR('PurchaseOrders'!A11="",'PurchaseOrders'!K11&lt;=0),"",'PurchaseOrders'!H11)</f>
      </c>
      <c r="I25" t="str">
        <f>IF(OR('PurchaseOrders'!A11="",'PurchaseOrders'!K11&lt;=0),"",'PurchaseOrders'!I11)</f>
      </c>
    </row>
    <row r="26">
      <c r="A26" t="str">
        <f>IF(OR('PurchaseOrders'!A12="",'PurchaseOrders'!K12&lt;=0),"",'PurchaseOrders'!A12)</f>
      </c>
      <c r="B26" t="str">
        <f>IF(OR('PurchaseOrders'!A12="",'PurchaseOrders'!K12&lt;=0),"",'PurchaseOrders'!B12)</f>
      </c>
      <c r="C26" t="str">
        <f>IF(OR('PurchaseOrders'!A12="",'PurchaseOrders'!K12&lt;=0),"",'PurchaseOrders'!C12)</f>
      </c>
      <c r="D26" t="str">
        <f>IF(OR('PurchaseOrders'!A12="",'PurchaseOrders'!K12&lt;=0),"",'PurchaseOrders'!D12)</f>
      </c>
      <c r="E26" s="58" t="str">
        <f>IF(OR('PurchaseOrders'!A12="",'PurchaseOrders'!K12&lt;=0),"",'PurchaseOrders'!E12)</f>
      </c>
      <c r="F26" s="58" t="str">
        <f>IF(OR('PurchaseOrders'!A12="",'PurchaseOrders'!K12&lt;=0),"",'PurchaseOrders'!F12)</f>
      </c>
      <c r="G26" t="str">
        <f>IF(OR('PurchaseOrders'!A12="",'PurchaseOrders'!K12&lt;=0),"",'PurchaseOrders'!K12)</f>
      </c>
      <c r="H26" s="59" t="str">
        <f>IF(OR('PurchaseOrders'!A12="",'PurchaseOrders'!K12&lt;=0),"",'PurchaseOrders'!H12)</f>
      </c>
      <c r="I26" t="str">
        <f>IF(OR('PurchaseOrders'!A12="",'PurchaseOrders'!K12&lt;=0),"",'PurchaseOrders'!I12)</f>
      </c>
    </row>
    <row r="27">
      <c r="A27" t="str">
        <f>IF(OR('PurchaseOrders'!A13="",'PurchaseOrders'!K13&lt;=0),"",'PurchaseOrders'!A13)</f>
      </c>
      <c r="B27" t="str">
        <f>IF(OR('PurchaseOrders'!A13="",'PurchaseOrders'!K13&lt;=0),"",'PurchaseOrders'!B13)</f>
      </c>
      <c r="C27" t="str">
        <f>IF(OR('PurchaseOrders'!A13="",'PurchaseOrders'!K13&lt;=0),"",'PurchaseOrders'!C13)</f>
      </c>
      <c r="D27" t="str">
        <f>IF(OR('PurchaseOrders'!A13="",'PurchaseOrders'!K13&lt;=0),"",'PurchaseOrders'!D13)</f>
      </c>
      <c r="E27" s="58" t="str">
        <f>IF(OR('PurchaseOrders'!A13="",'PurchaseOrders'!K13&lt;=0),"",'PurchaseOrders'!E13)</f>
      </c>
      <c r="F27" s="58" t="str">
        <f>IF(OR('PurchaseOrders'!A13="",'PurchaseOrders'!K13&lt;=0),"",'PurchaseOrders'!F13)</f>
      </c>
      <c r="G27" t="str">
        <f>IF(OR('PurchaseOrders'!A13="",'PurchaseOrders'!K13&lt;=0),"",'PurchaseOrders'!K13)</f>
      </c>
      <c r="H27" s="59" t="str">
        <f>IF(OR('PurchaseOrders'!A13="",'PurchaseOrders'!K13&lt;=0),"",'PurchaseOrders'!H13)</f>
      </c>
      <c r="I27" t="str">
        <f>IF(OR('PurchaseOrders'!A13="",'PurchaseOrders'!K13&lt;=0),"",'PurchaseOrders'!I13)</f>
      </c>
    </row>
    <row r="28">
      <c r="A28" t="str">
        <f>IF(OR('PurchaseOrders'!A14="",'PurchaseOrders'!K14&lt;=0),"",'PurchaseOrders'!A14)</f>
      </c>
      <c r="B28" t="str">
        <f>IF(OR('PurchaseOrders'!A14="",'PurchaseOrders'!K14&lt;=0),"",'PurchaseOrders'!B14)</f>
      </c>
      <c r="C28" t="str">
        <f>IF(OR('PurchaseOrders'!A14="",'PurchaseOrders'!K14&lt;=0),"",'PurchaseOrders'!C14)</f>
      </c>
      <c r="D28" t="str">
        <f>IF(OR('PurchaseOrders'!A14="",'PurchaseOrders'!K14&lt;=0),"",'PurchaseOrders'!D14)</f>
      </c>
      <c r="E28" s="58" t="str">
        <f>IF(OR('PurchaseOrders'!A14="",'PurchaseOrders'!K14&lt;=0),"",'PurchaseOrders'!E14)</f>
      </c>
      <c r="F28" s="58" t="str">
        <f>IF(OR('PurchaseOrders'!A14="",'PurchaseOrders'!K14&lt;=0),"",'PurchaseOrders'!F14)</f>
      </c>
      <c r="G28" t="str">
        <f>IF(OR('PurchaseOrders'!A14="",'PurchaseOrders'!K14&lt;=0),"",'PurchaseOrders'!K14)</f>
      </c>
      <c r="H28" s="59" t="str">
        <f>IF(OR('PurchaseOrders'!A14="",'PurchaseOrders'!K14&lt;=0),"",'PurchaseOrders'!H14)</f>
      </c>
      <c r="I28" t="str">
        <f>IF(OR('PurchaseOrders'!A14="",'PurchaseOrders'!K14&lt;=0),"",'PurchaseOrders'!I14)</f>
      </c>
    </row>
    <row r="29">
      <c r="A29" t="str">
        <f>IF(OR('PurchaseOrders'!A15="",'PurchaseOrders'!K15&lt;=0),"",'PurchaseOrders'!A15)</f>
      </c>
      <c r="B29" t="str">
        <f>IF(OR('PurchaseOrders'!A15="",'PurchaseOrders'!K15&lt;=0),"",'PurchaseOrders'!B15)</f>
      </c>
      <c r="C29" t="str">
        <f>IF(OR('PurchaseOrders'!A15="",'PurchaseOrders'!K15&lt;=0),"",'PurchaseOrders'!C15)</f>
      </c>
      <c r="D29" t="str">
        <f>IF(OR('PurchaseOrders'!A15="",'PurchaseOrders'!K15&lt;=0),"",'PurchaseOrders'!D15)</f>
      </c>
      <c r="E29" s="58" t="str">
        <f>IF(OR('PurchaseOrders'!A15="",'PurchaseOrders'!K15&lt;=0),"",'PurchaseOrders'!E15)</f>
      </c>
      <c r="F29" s="58" t="str">
        <f>IF(OR('PurchaseOrders'!A15="",'PurchaseOrders'!K15&lt;=0),"",'PurchaseOrders'!F15)</f>
      </c>
      <c r="G29" t="str">
        <f>IF(OR('PurchaseOrders'!A15="",'PurchaseOrders'!K15&lt;=0),"",'PurchaseOrders'!K15)</f>
      </c>
      <c r="H29" s="59" t="str">
        <f>IF(OR('PurchaseOrders'!A15="",'PurchaseOrders'!K15&lt;=0),"",'PurchaseOrders'!H15)</f>
      </c>
      <c r="I29" t="str">
        <f>IF(OR('PurchaseOrders'!A15="",'PurchaseOrders'!K15&lt;=0),"",'PurchaseOrders'!I15)</f>
      </c>
    </row>
    <row r="30">
      <c r="A30" t="str">
        <f>IF(OR('PurchaseOrders'!A16="",'PurchaseOrders'!K16&lt;=0),"",'PurchaseOrders'!A16)</f>
      </c>
      <c r="B30" t="str">
        <f>IF(OR('PurchaseOrders'!A16="",'PurchaseOrders'!K16&lt;=0),"",'PurchaseOrders'!B16)</f>
      </c>
      <c r="C30" t="str">
        <f>IF(OR('PurchaseOrders'!A16="",'PurchaseOrders'!K16&lt;=0),"",'PurchaseOrders'!C16)</f>
      </c>
      <c r="D30" t="str">
        <f>IF(OR('PurchaseOrders'!A16="",'PurchaseOrders'!K16&lt;=0),"",'PurchaseOrders'!D16)</f>
      </c>
      <c r="E30" s="58" t="str">
        <f>IF(OR('PurchaseOrders'!A16="",'PurchaseOrders'!K16&lt;=0),"",'PurchaseOrders'!E16)</f>
      </c>
      <c r="F30" s="58" t="str">
        <f>IF(OR('PurchaseOrders'!A16="",'PurchaseOrders'!K16&lt;=0),"",'PurchaseOrders'!F16)</f>
      </c>
      <c r="G30" t="str">
        <f>IF(OR('PurchaseOrders'!A16="",'PurchaseOrders'!K16&lt;=0),"",'PurchaseOrders'!K16)</f>
      </c>
      <c r="H30" s="59" t="str">
        <f>IF(OR('PurchaseOrders'!A16="",'PurchaseOrders'!K16&lt;=0),"",'PurchaseOrders'!H16)</f>
      </c>
      <c r="I30" t="str">
        <f>IF(OR('PurchaseOrders'!A16="",'PurchaseOrders'!K16&lt;=0),"",'PurchaseOrders'!I16)</f>
      </c>
    </row>
  </sheetData>
  <sheetProtection sheet="1" objects="1" scenarios="1" autoFilter="0" sort="1" formatColumns="0" formatRows="0" selectLockedCells="0" selectUnlockedCells="0"/>
  <mergeCells>
    <mergeCell ref="A3:Q3"/>
  </mergeCells>
  <conditionalFormatting sqref="F7:F16">
    <cfRule type="expression" dxfId="184" priority="1">
      <formula>INDIRECT("Start!$C$7")="AUD"</formula>
    </cfRule>
    <cfRule type="expression" dxfId="185" priority="2">
      <formula>INDIRECT("Start!$C$7")="NZD"</formula>
    </cfRule>
    <cfRule type="expression" dxfId="186" priority="3">
      <formula>INDIRECT("Start!$C$7")="USD"</formula>
    </cfRule>
    <cfRule type="expression" dxfId="187" priority="4">
      <formula>INDIRECT("Start!$C$7")="GBP"</formula>
    </cfRule>
    <cfRule type="expression" dxfId="188" priority="5">
      <formula>INDIRECT("Start!$C$7")="CAD"</formula>
    </cfRule>
    <cfRule type="expression" dxfId="189" priority="6">
      <formula>INDIRECT("Start!$C$7")="CNY"</formula>
    </cfRule>
    <cfRule type="expression" dxfId="190" priority="7">
      <formula>INDIRECT("Start!$C$7")="SGD"</formula>
    </cfRule>
    <cfRule type="expression" dxfId="191" priority="8">
      <formula>INDIRECT("Start!$C$7")="EUR"</formula>
    </cfRule>
    <cfRule type="expression" dxfId="192" priority="9">
      <formula>INDIRECT("Start!$C$7")="JPY"</formula>
    </cfRule>
  </conditionalFormatting>
  <conditionalFormatting sqref="E21:F30">
    <cfRule type="expression" dxfId="193" priority="10">
      <formula>INDIRECT("Start!$F$7")="dd/mm/yyyy"</formula>
    </cfRule>
    <cfRule type="expression" dxfId="194" priority="11">
      <formula>INDIRECT("Start!$F$7")="mm/dd/yyyy"</formula>
    </cfRule>
    <cfRule type="expression" dxfId="195" priority="12">
      <formula>INDIRECT("Start!$F$7")="yyyy-mm-dd"</formula>
    </cfRule>
    <cfRule type="expression" dxfId="196" priority="13">
      <formula>INDIRECT("Start!$F$7")="dd.mm.yyyy"</formula>
    </cfRule>
    <cfRule type="expression" dxfId="197" priority="14">
      <formula>INDIRECT("Start!$F$7")="yyyy/mm/dd"</formula>
    </cfRule>
  </conditionalFormatting>
  <conditionalFormatting sqref="H21:H30">
    <cfRule type="expression" dxfId="198" priority="15">
      <formula>INDIRECT("Start!$C$7")="AUD"</formula>
    </cfRule>
    <cfRule type="expression" dxfId="199" priority="16">
      <formula>INDIRECT("Start!$C$7")="NZD"</formula>
    </cfRule>
    <cfRule type="expression" dxfId="200" priority="17">
      <formula>INDIRECT("Start!$C$7")="USD"</formula>
    </cfRule>
    <cfRule type="expression" dxfId="201" priority="18">
      <formula>INDIRECT("Start!$C$7")="GBP"</formula>
    </cfRule>
    <cfRule type="expression" dxfId="202" priority="19">
      <formula>INDIRECT("Start!$C$7")="CAD"</formula>
    </cfRule>
    <cfRule type="expression" dxfId="203" priority="20">
      <formula>INDIRECT("Start!$C$7")="CNY"</formula>
    </cfRule>
    <cfRule type="expression" dxfId="204" priority="21">
      <formula>INDIRECT("Start!$C$7")="SGD"</formula>
    </cfRule>
    <cfRule type="expression" dxfId="205" priority="22">
      <formula>INDIRECT("Start!$C$7")="EUR"</formula>
    </cfRule>
    <cfRule type="expression" dxfId="206" priority="23">
      <formula>INDIRECT("Start!$C$7")="JPY"</formula>
    </cfRule>
  </conditionalFormatting>
  <hyperlinks>
    <hyperlink ref="A1" location="'Start'!A1" display="Home"/>
    <hyperlink ref="D1" location="'Inventory'!A1" display="Inventory"/>
    <hyperlink ref="G1" location="'Receiving'!A1" display="Receive"/>
    <hyperlink ref="J1" location="'Reorder'!A1" display="Reorder"/>
  </hyperlinks>
  <pageMargins left="0.7" right="0.7" top="0.75" bottom="0.75" header="0.3" footer="0.3"/>
  <tableParts count="1">
    <tablePart r:id="R4eb1729691304c11"/>
  </tableParts>
</worksheet>
</file>